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. LAPORAN PENILAIAN SEWA\2022\13. PT. Bank DKI\Admin\"/>
    </mc:Choice>
  </mc:AlternateContent>
  <bookViews>
    <workbookView xWindow="0" yWindow="0" windowWidth="20490" windowHeight="7530"/>
  </bookViews>
  <sheets>
    <sheet name="PT. Bank DKI" sheetId="1" r:id="rId1"/>
    <sheet name="Perhitungan Fee" sheetId="5" state="hidden" r:id="rId2"/>
    <sheet name="PP Properti" sheetId="3" state="hidden" r:id="rId3"/>
    <sheet name="Sheet2" sheetId="2" state="hidden" r:id="rId4"/>
    <sheet name="Sheet3" sheetId="4" state="hidden" r:id="rId5"/>
  </sheets>
  <definedNames>
    <definedName name="_xlnm.Print_Area" localSheetId="0">'PT. Bank DKI'!$A$1:$M$70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9" i="5" l="1"/>
  <c r="M60" i="1"/>
  <c r="F60" i="1"/>
  <c r="M39" i="1"/>
  <c r="F39" i="1"/>
  <c r="E35" i="1"/>
  <c r="M18" i="1"/>
  <c r="F18" i="1"/>
  <c r="M61" i="1"/>
  <c r="M59" i="1"/>
  <c r="M57" i="1"/>
  <c r="M56" i="1"/>
  <c r="M55" i="1"/>
  <c r="M54" i="1"/>
  <c r="M53" i="1"/>
  <c r="M52" i="1"/>
  <c r="M51" i="1"/>
  <c r="H50" i="1"/>
  <c r="M49" i="1"/>
  <c r="M48" i="1"/>
  <c r="M47" i="1"/>
  <c r="M63" i="1" l="1"/>
  <c r="J19" i="3" l="1"/>
  <c r="B3" i="4" l="1"/>
  <c r="M40" i="1" l="1"/>
  <c r="M38" i="1"/>
  <c r="M36" i="1"/>
  <c r="M35" i="1"/>
  <c r="M34" i="1"/>
  <c r="M33" i="1"/>
  <c r="M32" i="1"/>
  <c r="M31" i="1"/>
  <c r="M30" i="1"/>
  <c r="H29" i="1"/>
  <c r="M28" i="1"/>
  <c r="M27" i="1"/>
  <c r="M26" i="1"/>
  <c r="M19" i="1"/>
  <c r="M17" i="1"/>
  <c r="M15" i="1"/>
  <c r="M14" i="1"/>
  <c r="M13" i="1"/>
  <c r="M12" i="1"/>
  <c r="M11" i="1"/>
  <c r="M10" i="1"/>
  <c r="M9" i="1"/>
  <c r="H8" i="1"/>
  <c r="M7" i="1"/>
  <c r="M6" i="1"/>
  <c r="M5" i="1"/>
  <c r="M21" i="1" l="1"/>
  <c r="M42" i="1"/>
  <c r="X74" i="4" l="1"/>
  <c r="X73" i="4"/>
  <c r="X71" i="4"/>
  <c r="X70" i="4"/>
  <c r="X69" i="4"/>
  <c r="S68" i="4"/>
  <c r="X67" i="4"/>
  <c r="X66" i="4"/>
  <c r="X65" i="4"/>
  <c r="X58" i="4"/>
  <c r="X57" i="4"/>
  <c r="X55" i="4"/>
  <c r="X54" i="4"/>
  <c r="X53" i="4"/>
  <c r="X52" i="4"/>
  <c r="X51" i="4"/>
  <c r="X50" i="4"/>
  <c r="X49" i="4"/>
  <c r="S48" i="4"/>
  <c r="X47" i="4"/>
  <c r="X46" i="4"/>
  <c r="X45" i="4"/>
  <c r="X38" i="4"/>
  <c r="X37" i="4"/>
  <c r="B39" i="4"/>
  <c r="X35" i="4"/>
  <c r="X34" i="4"/>
  <c r="X33" i="4"/>
  <c r="A35" i="4"/>
  <c r="X32" i="4"/>
  <c r="A34" i="4"/>
  <c r="X31" i="4"/>
  <c r="X30" i="4"/>
  <c r="X29" i="4"/>
  <c r="P29" i="4"/>
  <c r="K29" i="4"/>
  <c r="K30" i="4" s="1"/>
  <c r="S28" i="4"/>
  <c r="B30" i="4"/>
  <c r="B31" i="4" s="1"/>
  <c r="B32" i="4" s="1"/>
  <c r="X27" i="4"/>
  <c r="X26" i="4"/>
  <c r="X25" i="4"/>
  <c r="N21" i="4"/>
  <c r="O21" i="4" s="1"/>
  <c r="P21" i="4" s="1"/>
  <c r="N20" i="4"/>
  <c r="O20" i="4" s="1"/>
  <c r="N19" i="4"/>
  <c r="O19" i="4" s="1"/>
  <c r="X18" i="4"/>
  <c r="N18" i="4"/>
  <c r="X17" i="4"/>
  <c r="N17" i="4"/>
  <c r="O17" i="4" s="1"/>
  <c r="P17" i="4" s="1"/>
  <c r="N16" i="4"/>
  <c r="O16" i="4" s="1"/>
  <c r="P16" i="4" s="1"/>
  <c r="X15" i="4"/>
  <c r="N15" i="4"/>
  <c r="X14" i="4"/>
  <c r="N14" i="4"/>
  <c r="O14" i="4" s="1"/>
  <c r="P14" i="4" s="1"/>
  <c r="X13" i="4"/>
  <c r="N13" i="4"/>
  <c r="X12" i="4"/>
  <c r="N12" i="4"/>
  <c r="O12" i="4" s="1"/>
  <c r="X11" i="4"/>
  <c r="N11" i="4"/>
  <c r="O11" i="4" s="1"/>
  <c r="P11" i="4" s="1"/>
  <c r="X10" i="4"/>
  <c r="N10" i="4"/>
  <c r="X9" i="4"/>
  <c r="N9" i="4"/>
  <c r="O9" i="4" s="1"/>
  <c r="P9" i="4" s="1"/>
  <c r="A11" i="4"/>
  <c r="S8" i="4"/>
  <c r="N8" i="4"/>
  <c r="O8" i="4" s="1"/>
  <c r="P8" i="4" s="1"/>
  <c r="A10" i="4"/>
  <c r="X7" i="4"/>
  <c r="N7" i="4"/>
  <c r="X6" i="4"/>
  <c r="N6" i="4"/>
  <c r="O6" i="4" s="1"/>
  <c r="P6" i="4" s="1"/>
  <c r="X5" i="4"/>
  <c r="N5" i="4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N4" i="4"/>
  <c r="O4" i="4" s="1"/>
  <c r="P4" i="4" s="1"/>
  <c r="B4" i="4"/>
  <c r="B5" i="4" s="1"/>
  <c r="B6" i="4" s="1"/>
  <c r="AG110" i="2"/>
  <c r="AH110" i="2" s="1"/>
  <c r="AH118" i="2"/>
  <c r="AA118" i="2"/>
  <c r="T118" i="2"/>
  <c r="AH117" i="2"/>
  <c r="AA117" i="2"/>
  <c r="T117" i="2"/>
  <c r="AH115" i="2"/>
  <c r="AA115" i="2"/>
  <c r="T115" i="2"/>
  <c r="AH114" i="2"/>
  <c r="AA114" i="2"/>
  <c r="T114" i="2"/>
  <c r="AG113" i="2"/>
  <c r="AH113" i="2" s="1"/>
  <c r="AA113" i="2"/>
  <c r="T113" i="2"/>
  <c r="S113" i="2"/>
  <c r="AH112" i="2"/>
  <c r="AA112" i="2"/>
  <c r="T112" i="2"/>
  <c r="AH111" i="2"/>
  <c r="AA111" i="2"/>
  <c r="T111" i="2"/>
  <c r="AA110" i="2"/>
  <c r="T110" i="2"/>
  <c r="AH109" i="2"/>
  <c r="AA109" i="2"/>
  <c r="T109" i="2"/>
  <c r="L109" i="2"/>
  <c r="G109" i="2"/>
  <c r="G110" i="2" s="1"/>
  <c r="AC108" i="2"/>
  <c r="V108" i="2"/>
  <c r="O108" i="2"/>
  <c r="AH107" i="2"/>
  <c r="AA107" i="2"/>
  <c r="T107" i="2"/>
  <c r="AH106" i="2"/>
  <c r="AA106" i="2"/>
  <c r="T106" i="2"/>
  <c r="AH105" i="2"/>
  <c r="AA105" i="2"/>
  <c r="T105" i="2"/>
  <c r="K101" i="2"/>
  <c r="L101" i="2" s="1"/>
  <c r="J101" i="2"/>
  <c r="B101" i="2"/>
  <c r="B102" i="2" s="1"/>
  <c r="B103" i="2" s="1"/>
  <c r="B104" i="2" s="1"/>
  <c r="B105" i="2" s="1"/>
  <c r="B106" i="2" s="1"/>
  <c r="T98" i="2"/>
  <c r="T97" i="2"/>
  <c r="T95" i="2"/>
  <c r="T94" i="2"/>
  <c r="S93" i="2"/>
  <c r="T93" i="2" s="1"/>
  <c r="T92" i="2"/>
  <c r="T91" i="2"/>
  <c r="T90" i="2"/>
  <c r="T89" i="2"/>
  <c r="T87" i="2"/>
  <c r="T86" i="2"/>
  <c r="T85" i="2"/>
  <c r="AH98" i="2"/>
  <c r="AA98" i="2"/>
  <c r="AH97" i="2"/>
  <c r="AA97" i="2"/>
  <c r="AH95" i="2"/>
  <c r="AA95" i="2"/>
  <c r="AH94" i="2"/>
  <c r="AA94" i="2"/>
  <c r="AG93" i="2"/>
  <c r="AH93" i="2" s="1"/>
  <c r="AA93" i="2"/>
  <c r="AH92" i="2"/>
  <c r="AA92" i="2"/>
  <c r="AH91" i="2"/>
  <c r="AA91" i="2"/>
  <c r="AH90" i="2"/>
  <c r="AA90" i="2"/>
  <c r="AH89" i="2"/>
  <c r="AA89" i="2"/>
  <c r="L89" i="2"/>
  <c r="G89" i="2"/>
  <c r="G90" i="2" s="1"/>
  <c r="AC88" i="2"/>
  <c r="V88" i="2"/>
  <c r="O88" i="2"/>
  <c r="AH87" i="2"/>
  <c r="AA87" i="2"/>
  <c r="AH86" i="2"/>
  <c r="AA86" i="2"/>
  <c r="AH85" i="2"/>
  <c r="AA85" i="2"/>
  <c r="J81" i="2"/>
  <c r="K81" i="2" s="1"/>
  <c r="L81" i="2" s="1"/>
  <c r="B81" i="2"/>
  <c r="B82" i="2" s="1"/>
  <c r="B83" i="2" s="1"/>
  <c r="B84" i="2" s="1"/>
  <c r="B85" i="2" s="1"/>
  <c r="B86" i="2" s="1"/>
  <c r="AH78" i="2"/>
  <c r="AH77" i="2"/>
  <c r="AH75" i="2"/>
  <c r="AH74" i="2"/>
  <c r="AG73" i="2"/>
  <c r="AH73" i="2" s="1"/>
  <c r="AH72" i="2"/>
  <c r="AH71" i="2"/>
  <c r="AH70" i="2"/>
  <c r="AH69" i="2"/>
  <c r="AH67" i="2"/>
  <c r="AH66" i="2"/>
  <c r="AH65" i="2"/>
  <c r="Z73" i="2"/>
  <c r="AA78" i="2"/>
  <c r="T78" i="2"/>
  <c r="AA77" i="2"/>
  <c r="T77" i="2"/>
  <c r="AA75" i="2"/>
  <c r="T75" i="2"/>
  <c r="AA74" i="2"/>
  <c r="T74" i="2"/>
  <c r="AA73" i="2"/>
  <c r="T73" i="2"/>
  <c r="AA72" i="2"/>
  <c r="T72" i="2"/>
  <c r="AA71" i="2"/>
  <c r="T71" i="2"/>
  <c r="AA70" i="2"/>
  <c r="T70" i="2"/>
  <c r="AA69" i="2"/>
  <c r="T69" i="2"/>
  <c r="L69" i="2"/>
  <c r="G69" i="2"/>
  <c r="G70" i="2" s="1"/>
  <c r="AC68" i="2"/>
  <c r="V68" i="2"/>
  <c r="O68" i="2"/>
  <c r="AA67" i="2"/>
  <c r="T67" i="2"/>
  <c r="AA66" i="2"/>
  <c r="T66" i="2"/>
  <c r="AA65" i="2"/>
  <c r="T65" i="2"/>
  <c r="K61" i="2"/>
  <c r="L61" i="2" s="1"/>
  <c r="J61" i="2"/>
  <c r="B61" i="2"/>
  <c r="B62" i="2" s="1"/>
  <c r="B63" i="2" s="1"/>
  <c r="B64" i="2" s="1"/>
  <c r="B65" i="2" s="1"/>
  <c r="B66" i="2" s="1"/>
  <c r="AG53" i="2"/>
  <c r="AG54" i="2"/>
  <c r="AH54" i="2" s="1"/>
  <c r="AH58" i="2"/>
  <c r="AA58" i="2"/>
  <c r="T58" i="2"/>
  <c r="AH57" i="2"/>
  <c r="AA57" i="2"/>
  <c r="T57" i="2"/>
  <c r="AH55" i="2"/>
  <c r="AA55" i="2"/>
  <c r="T55" i="2"/>
  <c r="AA54" i="2"/>
  <c r="T54" i="2"/>
  <c r="AH53" i="2"/>
  <c r="AA53" i="2"/>
  <c r="T53" i="2"/>
  <c r="AH52" i="2"/>
  <c r="AA52" i="2"/>
  <c r="T52" i="2"/>
  <c r="AH51" i="2"/>
  <c r="AA51" i="2"/>
  <c r="T51" i="2"/>
  <c r="AH50" i="2"/>
  <c r="AA50" i="2"/>
  <c r="T50" i="2"/>
  <c r="AH49" i="2"/>
  <c r="AA49" i="2"/>
  <c r="T49" i="2"/>
  <c r="L49" i="2"/>
  <c r="G49" i="2"/>
  <c r="G50" i="2" s="1"/>
  <c r="AC48" i="2"/>
  <c r="V48" i="2"/>
  <c r="O48" i="2"/>
  <c r="AH47" i="2"/>
  <c r="AA47" i="2"/>
  <c r="T47" i="2"/>
  <c r="AH46" i="2"/>
  <c r="AA46" i="2"/>
  <c r="T46" i="2"/>
  <c r="AH45" i="2"/>
  <c r="AA45" i="2"/>
  <c r="T45" i="2"/>
  <c r="J41" i="2"/>
  <c r="K41" i="2" s="1"/>
  <c r="B41" i="2"/>
  <c r="B42" i="2" s="1"/>
  <c r="B43" i="2" s="1"/>
  <c r="B44" i="2" s="1"/>
  <c r="B45" i="2" s="1"/>
  <c r="B46" i="2" s="1"/>
  <c r="AH38" i="2"/>
  <c r="AH37" i="2"/>
  <c r="AH35" i="2"/>
  <c r="AH34" i="2"/>
  <c r="AH33" i="2"/>
  <c r="AH32" i="2"/>
  <c r="AH31" i="2"/>
  <c r="AH30" i="2"/>
  <c r="AH29" i="2"/>
  <c r="AC28" i="2"/>
  <c r="AH27" i="2"/>
  <c r="AH26" i="2"/>
  <c r="AH25" i="2"/>
  <c r="AH18" i="2"/>
  <c r="AH17" i="2"/>
  <c r="AH15" i="2"/>
  <c r="AH14" i="2"/>
  <c r="AH13" i="2"/>
  <c r="AH12" i="2"/>
  <c r="AH11" i="2"/>
  <c r="AH10" i="2"/>
  <c r="AH9" i="2"/>
  <c r="AC8" i="2"/>
  <c r="AH7" i="2"/>
  <c r="AH6" i="2"/>
  <c r="AH5" i="2"/>
  <c r="AA38" i="2"/>
  <c r="AA37" i="2"/>
  <c r="AA35" i="2"/>
  <c r="AA34" i="2"/>
  <c r="AA33" i="2"/>
  <c r="AA32" i="2"/>
  <c r="AA31" i="2"/>
  <c r="AA30" i="2"/>
  <c r="AA29" i="2"/>
  <c r="V28" i="2"/>
  <c r="AA27" i="2"/>
  <c r="AA26" i="2"/>
  <c r="AA25" i="2"/>
  <c r="AA18" i="2"/>
  <c r="AA17" i="2"/>
  <c r="AA15" i="2"/>
  <c r="AA14" i="2"/>
  <c r="AA13" i="2"/>
  <c r="AA12" i="2"/>
  <c r="AA11" i="2"/>
  <c r="AA10" i="2"/>
  <c r="AA9" i="2"/>
  <c r="V8" i="2"/>
  <c r="AA7" i="2"/>
  <c r="AA6" i="2"/>
  <c r="AA5" i="2"/>
  <c r="T38" i="2"/>
  <c r="T37" i="2"/>
  <c r="T35" i="2"/>
  <c r="T34" i="2"/>
  <c r="T33" i="2"/>
  <c r="T32" i="2"/>
  <c r="T31" i="2"/>
  <c r="T30" i="2"/>
  <c r="T29" i="2"/>
  <c r="O28" i="2"/>
  <c r="T27" i="2"/>
  <c r="T26" i="2"/>
  <c r="T25" i="2"/>
  <c r="L29" i="2"/>
  <c r="G29" i="2"/>
  <c r="G30" i="2" s="1"/>
  <c r="J21" i="2"/>
  <c r="K21" i="2" s="1"/>
  <c r="L21" i="2" s="1"/>
  <c r="J20" i="2"/>
  <c r="J19" i="2"/>
  <c r="T18" i="2"/>
  <c r="J18" i="2"/>
  <c r="T17" i="2"/>
  <c r="J17" i="2"/>
  <c r="K17" i="2" s="1"/>
  <c r="L17" i="2" s="1"/>
  <c r="J16" i="2"/>
  <c r="K16" i="2" s="1"/>
  <c r="L16" i="2" s="1"/>
  <c r="T15" i="2"/>
  <c r="J15" i="2"/>
  <c r="T14" i="2"/>
  <c r="J14" i="2"/>
  <c r="K14" i="2" s="1"/>
  <c r="L14" i="2" s="1"/>
  <c r="T13" i="2"/>
  <c r="J13" i="2"/>
  <c r="K13" i="2" s="1"/>
  <c r="T12" i="2"/>
  <c r="J12" i="2"/>
  <c r="K12" i="2" s="1"/>
  <c r="T11" i="2"/>
  <c r="J11" i="2"/>
  <c r="K11" i="2" s="1"/>
  <c r="L11" i="2" s="1"/>
  <c r="T10" i="2"/>
  <c r="J10" i="2"/>
  <c r="K10" i="2" s="1"/>
  <c r="T9" i="2"/>
  <c r="J9" i="2"/>
  <c r="K9" i="2" s="1"/>
  <c r="L9" i="2" s="1"/>
  <c r="O8" i="2"/>
  <c r="J8" i="2"/>
  <c r="K8" i="2" s="1"/>
  <c r="L8" i="2" s="1"/>
  <c r="T7" i="2"/>
  <c r="J7" i="2"/>
  <c r="T6" i="2"/>
  <c r="J6" i="2"/>
  <c r="K6" i="2" s="1"/>
  <c r="L6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T5" i="2"/>
  <c r="J5" i="2"/>
  <c r="B5" i="2"/>
  <c r="J4" i="2"/>
  <c r="K4" i="2" s="1"/>
  <c r="L4" i="2" s="1"/>
  <c r="K58" i="3"/>
  <c r="K57" i="3"/>
  <c r="L57" i="3" s="1"/>
  <c r="M57" i="3" s="1"/>
  <c r="K56" i="3"/>
  <c r="L56" i="3" s="1"/>
  <c r="M56" i="3" s="1"/>
  <c r="K55" i="3"/>
  <c r="K54" i="3"/>
  <c r="K53" i="3"/>
  <c r="L53" i="3" s="1"/>
  <c r="M53" i="3" s="1"/>
  <c r="K52" i="3"/>
  <c r="L52" i="3" s="1"/>
  <c r="M52" i="3" s="1"/>
  <c r="K51" i="3"/>
  <c r="S127" i="2" s="1"/>
  <c r="U127" i="2" s="1"/>
  <c r="K50" i="3"/>
  <c r="K49" i="3"/>
  <c r="L49" i="3" s="1"/>
  <c r="M49" i="3" s="1"/>
  <c r="K48" i="3"/>
  <c r="L48" i="3" s="1"/>
  <c r="M48" i="3" s="1"/>
  <c r="K47" i="3"/>
  <c r="K46" i="3"/>
  <c r="K45" i="3"/>
  <c r="L45" i="3" s="1"/>
  <c r="M45" i="3" s="1"/>
  <c r="K44" i="3"/>
  <c r="L44" i="3" s="1"/>
  <c r="M44" i="3" s="1"/>
  <c r="K43" i="3"/>
  <c r="K42" i="3"/>
  <c r="K41" i="3"/>
  <c r="L41" i="3" s="1"/>
  <c r="M41" i="3" s="1"/>
  <c r="K40" i="3"/>
  <c r="L40" i="3" s="1"/>
  <c r="M40" i="3" s="1"/>
  <c r="K39" i="3"/>
  <c r="K38" i="3"/>
  <c r="K37" i="3"/>
  <c r="L37" i="3" s="1"/>
  <c r="M37" i="3" s="1"/>
  <c r="K36" i="3"/>
  <c r="L36" i="3" s="1"/>
  <c r="M36" i="3" s="1"/>
  <c r="K35" i="3"/>
  <c r="K34" i="3"/>
  <c r="K33" i="3"/>
  <c r="L33" i="3" s="1"/>
  <c r="M33" i="3" s="1"/>
  <c r="K32" i="3"/>
  <c r="L32" i="3" s="1"/>
  <c r="M32" i="3" s="1"/>
  <c r="K31" i="3"/>
  <c r="K30" i="3"/>
  <c r="K29" i="3"/>
  <c r="L29" i="3" s="1"/>
  <c r="M29" i="3" s="1"/>
  <c r="K28" i="3"/>
  <c r="L28" i="3" s="1"/>
  <c r="M28" i="3" s="1"/>
  <c r="K27" i="3"/>
  <c r="L27" i="3" s="1"/>
  <c r="M27" i="3" s="1"/>
  <c r="K26" i="3"/>
  <c r="L26" i="3" s="1"/>
  <c r="K25" i="3"/>
  <c r="L25" i="3" s="1"/>
  <c r="E20" i="3"/>
  <c r="E21" i="3"/>
  <c r="G21" i="3"/>
  <c r="E24" i="3"/>
  <c r="G27" i="3"/>
  <c r="S128" i="2" l="1"/>
  <c r="U128" i="2" s="1"/>
  <c r="AA126" i="2"/>
  <c r="B7" i="4" s="1"/>
  <c r="B8" i="4" s="1"/>
  <c r="S129" i="2"/>
  <c r="U129" i="2" s="1"/>
  <c r="T100" i="2"/>
  <c r="X20" i="4"/>
  <c r="X40" i="4"/>
  <c r="X60" i="4"/>
  <c r="X76" i="4"/>
  <c r="X78" i="4" s="1"/>
  <c r="B36" i="4"/>
  <c r="B33" i="4"/>
  <c r="B37" i="4"/>
  <c r="B35" i="4"/>
  <c r="A39" i="4"/>
  <c r="A40" i="4" s="1"/>
  <c r="A44" i="4" s="1"/>
  <c r="B44" i="4" s="1"/>
  <c r="O5" i="4"/>
  <c r="P5" i="4" s="1"/>
  <c r="O7" i="4"/>
  <c r="P7" i="4" s="1"/>
  <c r="O10" i="4"/>
  <c r="P10" i="4" s="1"/>
  <c r="O13" i="4"/>
  <c r="P13" i="4" s="1"/>
  <c r="O15" i="4"/>
  <c r="P15" i="4" s="1"/>
  <c r="O18" i="4"/>
  <c r="P18" i="4" s="1"/>
  <c r="P12" i="4"/>
  <c r="P19" i="4"/>
  <c r="P20" i="4"/>
  <c r="B34" i="4"/>
  <c r="AA120" i="2"/>
  <c r="T120" i="2"/>
  <c r="AH120" i="2"/>
  <c r="AH100" i="2"/>
  <c r="AA100" i="2"/>
  <c r="T127" i="2" s="1"/>
  <c r="W127" i="2" s="1"/>
  <c r="X127" i="2" s="1"/>
  <c r="AH80" i="2"/>
  <c r="AA80" i="2"/>
  <c r="T80" i="2"/>
  <c r="AH60" i="2"/>
  <c r="T60" i="2"/>
  <c r="T126" i="2" s="1"/>
  <c r="AH40" i="2"/>
  <c r="AA60" i="2"/>
  <c r="L41" i="2"/>
  <c r="AH20" i="2"/>
  <c r="AH122" i="2" s="1"/>
  <c r="AA40" i="2"/>
  <c r="AA20" i="2"/>
  <c r="T40" i="2"/>
  <c r="T20" i="2"/>
  <c r="T122" i="2" s="1"/>
  <c r="K5" i="2"/>
  <c r="L5" i="2" s="1"/>
  <c r="K7" i="2"/>
  <c r="L7" i="2" s="1"/>
  <c r="L10" i="2"/>
  <c r="L13" i="2"/>
  <c r="K19" i="2"/>
  <c r="L19" i="2" s="1"/>
  <c r="K20" i="2"/>
  <c r="L20" i="2" s="1"/>
  <c r="L12" i="2"/>
  <c r="K15" i="2"/>
  <c r="L15" i="2" s="1"/>
  <c r="K18" i="2"/>
  <c r="L18" i="2" s="1"/>
  <c r="M25" i="3"/>
  <c r="M26" i="3"/>
  <c r="M58" i="3"/>
  <c r="L31" i="3"/>
  <c r="M31" i="3" s="1"/>
  <c r="L35" i="3"/>
  <c r="M35" i="3" s="1"/>
  <c r="L39" i="3"/>
  <c r="M39" i="3" s="1"/>
  <c r="L43" i="3"/>
  <c r="M43" i="3" s="1"/>
  <c r="L47" i="3"/>
  <c r="M47" i="3" s="1"/>
  <c r="L51" i="3"/>
  <c r="M51" i="3" s="1"/>
  <c r="L55" i="3"/>
  <c r="M55" i="3" s="1"/>
  <c r="L30" i="3"/>
  <c r="M30" i="3" s="1"/>
  <c r="L34" i="3"/>
  <c r="M34" i="3" s="1"/>
  <c r="L38" i="3"/>
  <c r="M38" i="3" s="1"/>
  <c r="L42" i="3"/>
  <c r="M42" i="3" s="1"/>
  <c r="L46" i="3"/>
  <c r="M46" i="3" s="1"/>
  <c r="L50" i="3"/>
  <c r="M50" i="3" s="1"/>
  <c r="L54" i="3"/>
  <c r="M54" i="3" s="1"/>
  <c r="L58" i="3"/>
  <c r="F40" i="1"/>
  <c r="F38" i="1"/>
  <c r="F36" i="1"/>
  <c r="F35" i="1"/>
  <c r="F34" i="1"/>
  <c r="F33" i="1"/>
  <c r="F32" i="1"/>
  <c r="F31" i="1"/>
  <c r="F30" i="1"/>
  <c r="A29" i="1"/>
  <c r="F28" i="1"/>
  <c r="F27" i="1"/>
  <c r="F26" i="1"/>
  <c r="B11" i="4" l="1"/>
  <c r="B9" i="4"/>
  <c r="B10" i="4"/>
  <c r="B12" i="4"/>
  <c r="T129" i="2"/>
  <c r="W129" i="2"/>
  <c r="X129" i="2" s="1"/>
  <c r="AA122" i="2"/>
  <c r="T124" i="2" s="1"/>
  <c r="B13" i="4" s="1"/>
  <c r="T128" i="2"/>
  <c r="W128" i="2" s="1"/>
  <c r="X128" i="2" s="1"/>
  <c r="P27" i="4"/>
  <c r="B40" i="4"/>
  <c r="B42" i="4" s="1"/>
  <c r="A42" i="4" s="1"/>
  <c r="L27" i="2"/>
  <c r="L47" i="2" s="1"/>
  <c r="L67" i="2" s="1"/>
  <c r="L87" i="2" s="1"/>
  <c r="L107" i="2" s="1"/>
  <c r="F42" i="1"/>
  <c r="J18" i="3"/>
  <c r="J17" i="3"/>
  <c r="J5" i="3"/>
  <c r="J4" i="3"/>
  <c r="A13" i="4" l="1"/>
  <c r="K16" i="3"/>
  <c r="L16" i="3" s="1"/>
  <c r="M16" i="3" s="1"/>
  <c r="K15" i="3"/>
  <c r="L15" i="3" s="1"/>
  <c r="M15" i="3" s="1"/>
  <c r="K9" i="3"/>
  <c r="L9" i="3" s="1"/>
  <c r="M9" i="3" s="1"/>
  <c r="K14" i="3"/>
  <c r="G13" i="3"/>
  <c r="L14" i="3" l="1"/>
  <c r="M14" i="3" s="1"/>
  <c r="K24" i="3" l="1"/>
  <c r="K23" i="3"/>
  <c r="K22" i="3"/>
  <c r="L22" i="3" s="1"/>
  <c r="K21" i="3"/>
  <c r="L21" i="3" s="1"/>
  <c r="K20" i="3"/>
  <c r="L20" i="3" s="1"/>
  <c r="K19" i="3"/>
  <c r="L19" i="3"/>
  <c r="M19" i="3" s="1"/>
  <c r="K18" i="3"/>
  <c r="L18" i="3" s="1"/>
  <c r="K17" i="3"/>
  <c r="L17" i="3" s="1"/>
  <c r="K13" i="3"/>
  <c r="L13" i="3" s="1"/>
  <c r="K12" i="3"/>
  <c r="L12" i="3" s="1"/>
  <c r="K11" i="3"/>
  <c r="L11" i="3" s="1"/>
  <c r="K10" i="3"/>
  <c r="L10" i="3" s="1"/>
  <c r="L23" i="3" l="1"/>
  <c r="M23" i="3" s="1"/>
  <c r="S126" i="2"/>
  <c r="U126" i="2" s="1"/>
  <c r="W126" i="2" s="1"/>
  <c r="X126" i="2" s="1"/>
  <c r="X130" i="2" s="1"/>
  <c r="B14" i="4" s="1"/>
  <c r="M11" i="3"/>
  <c r="M22" i="3"/>
  <c r="L24" i="3"/>
  <c r="M24" i="3" s="1"/>
  <c r="M12" i="3"/>
  <c r="M20" i="3"/>
  <c r="M10" i="3"/>
  <c r="M13" i="3"/>
  <c r="M18" i="3"/>
  <c r="M21" i="3"/>
  <c r="M17" i="3"/>
  <c r="A14" i="4" l="1"/>
  <c r="B15" i="4"/>
  <c r="J60" i="3" l="1"/>
  <c r="F61" i="1" l="1"/>
  <c r="F59" i="1"/>
  <c r="F57" i="1"/>
  <c r="F56" i="1"/>
  <c r="F55" i="1"/>
  <c r="F54" i="1"/>
  <c r="F53" i="1"/>
  <c r="F52" i="1"/>
  <c r="F51" i="1"/>
  <c r="A50" i="1"/>
  <c r="F49" i="1"/>
  <c r="F48" i="1"/>
  <c r="F47" i="1"/>
  <c r="F63" i="1" l="1"/>
  <c r="K6" i="3"/>
  <c r="K5" i="3"/>
  <c r="K4" i="3"/>
  <c r="F11" i="1"/>
  <c r="F10" i="1"/>
  <c r="F19" i="1"/>
  <c r="F15" i="1"/>
  <c r="F12" i="1"/>
  <c r="F9" i="1"/>
  <c r="F17" i="1" l="1"/>
  <c r="F67" i="1" s="1"/>
  <c r="F13" i="1"/>
  <c r="F7" i="1"/>
  <c r="F6" i="1"/>
  <c r="F5" i="1"/>
  <c r="A8" i="1"/>
  <c r="F65" i="1" l="1"/>
  <c r="M65" i="3"/>
  <c r="X5" i="3" l="1"/>
  <c r="X4" i="3"/>
  <c r="Z62" i="3"/>
  <c r="P5" i="3"/>
  <c r="P6" i="3" s="1"/>
  <c r="P7" i="3" s="1"/>
  <c r="P8" i="3" s="1"/>
  <c r="P10" i="3" s="1"/>
  <c r="P11" i="3" s="1"/>
  <c r="P12" i="3" s="1"/>
  <c r="P13" i="3" s="1"/>
  <c r="P14" i="3" s="1"/>
  <c r="M62" i="3"/>
  <c r="K8" i="3"/>
  <c r="K7" i="3"/>
  <c r="L5" i="3"/>
  <c r="M5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Y4" i="3" l="1"/>
  <c r="Z4" i="3" s="1"/>
  <c r="Y5" i="3"/>
  <c r="Z5" i="3" s="1"/>
  <c r="P17" i="3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59" i="3" s="1"/>
  <c r="P15" i="3"/>
  <c r="P16" i="3" s="1"/>
  <c r="L7" i="3"/>
  <c r="M7" i="3" s="1"/>
  <c r="K60" i="3"/>
  <c r="L4" i="3"/>
  <c r="L6" i="3"/>
  <c r="M6" i="3" s="1"/>
  <c r="L8" i="3"/>
  <c r="M8" i="3" s="1"/>
  <c r="Z60" i="3" l="1"/>
  <c r="M4" i="3"/>
  <c r="M60" i="3" s="1"/>
  <c r="L60" i="3"/>
  <c r="M66" i="3" l="1"/>
  <c r="F14" i="1"/>
  <c r="F66" i="1" l="1"/>
  <c r="F69" i="1"/>
  <c r="F68" i="1"/>
  <c r="F70" i="1" l="1"/>
  <c r="B4" i="5" l="1"/>
  <c r="B5" i="5" s="1"/>
  <c r="B6" i="5" s="1"/>
  <c r="A11" i="5" s="1"/>
  <c r="A14" i="5" s="1"/>
  <c r="B7" i="5" l="1"/>
  <c r="B8" i="5"/>
  <c r="B10" i="5"/>
  <c r="B16" i="4"/>
  <c r="A16" i="4" s="1"/>
  <c r="A15" i="4"/>
  <c r="A18" i="4" s="1"/>
  <c r="A19" i="4" s="1"/>
  <c r="B12" i="5" l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l="1"/>
  <c r="B27" i="5" s="1"/>
</calcChain>
</file>

<file path=xl/sharedStrings.xml><?xml version="1.0" encoding="utf-8"?>
<sst xmlns="http://schemas.openxmlformats.org/spreadsheetml/2006/main" count="1043" uniqueCount="144">
  <si>
    <t>Fee Pekerjaan</t>
  </si>
  <si>
    <t>PPN</t>
  </si>
  <si>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</si>
  <si>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</si>
  <si>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</si>
  <si>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</si>
  <si>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</si>
  <si>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</si>
  <si>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</si>
  <si>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</si>
  <si>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Eksternal marketing</t>
  </si>
  <si>
    <t>Internal Marketing</t>
  </si>
  <si>
    <t>Tecknical Fee</t>
  </si>
  <si>
    <t>Signing Fee</t>
  </si>
  <si>
    <t>Jumlah Mesin</t>
  </si>
  <si>
    <t>Bekasi</t>
  </si>
  <si>
    <t>GROSS MARGIN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</si>
  <si>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</si>
  <si>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</si>
  <si>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</si>
  <si>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</si>
  <si>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</si>
  <si>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</si>
  <si>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</si>
  <si>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</si>
  <si>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</si>
  <si>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</si>
  <si>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</si>
  <si>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</si>
  <si>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</si>
  <si>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DAWANG - PERMATA</t>
  </si>
  <si>
    <t>NUTRI PANGAN - PERMATA</t>
  </si>
  <si>
    <t>Entertainment</t>
  </si>
  <si>
    <t>Transportasi Akomodasi</t>
  </si>
  <si>
    <t>1, 10, 16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</si>
  <si>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</si>
  <si>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</si>
  <si>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</si>
  <si>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</si>
  <si>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</si>
  <si>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</si>
  <si>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</si>
  <si>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</si>
  <si>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</si>
  <si>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</si>
  <si>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</si>
  <si>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</si>
  <si>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</si>
  <si>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</si>
  <si>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</si>
  <si>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7,12,15</t>
  </si>
  <si>
    <t>TANAH KOSONG, RUMAH TINGGAL, MESIN PRODUKSI - Medan, Sumatera Utara</t>
  </si>
  <si>
    <t>2,3,4,5,8,9,11,14,6</t>
  </si>
  <si>
    <t>Tanah Kosong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</si>
  <si>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</si>
  <si>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</si>
  <si>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</si>
  <si>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</si>
  <si>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</si>
  <si>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</si>
  <si>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</si>
  <si>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Unit Kantor</t>
  </si>
  <si>
    <t>Jumlah Unit</t>
  </si>
  <si>
    <t>Jakarta Barat</t>
  </si>
  <si>
    <t>DKI Jakarta</t>
  </si>
  <si>
    <t>Unit Ballroom</t>
  </si>
  <si>
    <t>Jakarta Pusat</t>
  </si>
  <si>
    <t>Unit Apartemen</t>
  </si>
  <si>
    <t>Jakarta Selatan</t>
  </si>
  <si>
    <t>Jakarta Timur</t>
  </si>
  <si>
    <t>Mix Used Dalam Pengembangan</t>
  </si>
  <si>
    <t>Depok</t>
  </si>
  <si>
    <t>Apartemen Dalam Pembangunan</t>
  </si>
  <si>
    <t>Serang</t>
  </si>
  <si>
    <t>Grand Kemala Lagoon</t>
  </si>
  <si>
    <t>Hotel</t>
  </si>
  <si>
    <t>Sport Centre</t>
  </si>
  <si>
    <t>Bandung</t>
  </si>
  <si>
    <t>Semarang</t>
  </si>
  <si>
    <t>Jawa Tengah</t>
  </si>
  <si>
    <t>Perumahan dan Apartemen</t>
  </si>
  <si>
    <t>Surabaya</t>
  </si>
  <si>
    <t>Jawa Timur</t>
  </si>
  <si>
    <t>KONAWE</t>
  </si>
  <si>
    <t>BANDAR LAMPUNG</t>
  </si>
  <si>
    <t>Sidoarjo</t>
  </si>
  <si>
    <t>Malang</t>
  </si>
  <si>
    <t>Majalengka</t>
  </si>
  <si>
    <t>Denpasar</t>
  </si>
  <si>
    <t>Bali</t>
  </si>
  <si>
    <t>Mataram</t>
  </si>
  <si>
    <t>NTB</t>
  </si>
  <si>
    <t>Sinduadi</t>
  </si>
  <si>
    <t>Yogyakarta</t>
  </si>
  <si>
    <t>Balikpapan</t>
  </si>
  <si>
    <t>Kalimantan Timur</t>
  </si>
  <si>
    <t>Medan</t>
  </si>
  <si>
    <t>Sumatera Utara</t>
  </si>
  <si>
    <t>Pekanbaru</t>
  </si>
  <si>
    <t>Riau</t>
  </si>
  <si>
    <t>Padang</t>
  </si>
  <si>
    <t>Sumatera Barat</t>
  </si>
  <si>
    <t>Bandar Lampung</t>
  </si>
  <si>
    <t>Lampung</t>
  </si>
  <si>
    <t>Bengkulu</t>
  </si>
  <si>
    <t>JAKARTA - PUSAT</t>
  </si>
  <si>
    <t>BOGOR DEPOK - PUSAT</t>
  </si>
  <si>
    <t>SERANG - PUSAT</t>
  </si>
  <si>
    <t>BEKASI - PUSAT</t>
  </si>
  <si>
    <t>MAJALENGKA - PUSAT</t>
  </si>
  <si>
    <t>BANDUNG - BOGOR</t>
  </si>
  <si>
    <t>SEMARANG - BOGOR</t>
  </si>
  <si>
    <t>SURABAYA - SIDOARJO - MALANG - BOGOR</t>
  </si>
  <si>
    <t>SINDUADI - JOGJA - PUSAT</t>
  </si>
  <si>
    <t>DENPASAR - PUSAT</t>
  </si>
  <si>
    <t>MATARAM - PUSAT</t>
  </si>
  <si>
    <t>BALIKPAPAN - PUSAT</t>
  </si>
  <si>
    <t>MEDAN - MEDAN</t>
  </si>
  <si>
    <t>PEKANBARU - PEKANBARU</t>
  </si>
  <si>
    <t>PADANG - PEKANBARU</t>
  </si>
  <si>
    <t>BADNAR LAMPUNG - LAMPUNG</t>
  </si>
  <si>
    <t>BENGKULU - LAMPUNG</t>
  </si>
  <si>
    <t>BOGOR</t>
  </si>
  <si>
    <t>MEDAN</t>
  </si>
  <si>
    <t>PEKANBARU</t>
  </si>
  <si>
    <t>LAMPUNG</t>
  </si>
  <si>
    <t>Subcon</t>
  </si>
  <si>
    <t>- piutang dibayar</t>
  </si>
  <si>
    <t>- depe 50%</t>
  </si>
  <si>
    <t>- eksternal 10% dari bersih (kurang TA)</t>
  </si>
  <si>
    <t>ASHFRI</t>
  </si>
  <si>
    <t>Tanah dan Bangunan</t>
  </si>
  <si>
    <t>Rumah Walet</t>
  </si>
  <si>
    <t>TANGERANG - BANTEN (4 RT, 2 RK, 1 TK)</t>
  </si>
  <si>
    <t>JAMBI (3 TK, 1 RK)</t>
  </si>
  <si>
    <t>PEKANBARU - 1RT</t>
  </si>
  <si>
    <t>CIANJUR - JAWA BARAT (1 RT)</t>
  </si>
  <si>
    <t>SLEMAN - YOGYAKARTA (1 RT)</t>
  </si>
  <si>
    <t>- Komunikasi</t>
  </si>
  <si>
    <t>-</t>
  </si>
  <si>
    <t>TOTAL ALLOWANCE</t>
  </si>
  <si>
    <t>TOTAL AKOMODASI TRANSPORTASI</t>
  </si>
  <si>
    <t>TOTAL KOMUNIKASI DAN LAINNYA</t>
  </si>
  <si>
    <t>PT. Bank DKI -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</si>
</sst>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41" fontId="0" fillId="0" borderId="0" xfId="1" applyFont="1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left"/>
    </xf>
    <xf numFmtId="0" fontId="0" fillId="0" borderId="0" xfId="1" applyNumberFormat="1" applyFont="1" applyAlignment="1">
      <alignment horizontal="center"/>
    </xf>
    <xf numFmtId="41" fontId="2" fillId="0" borderId="0" xfId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41" fontId="0" fillId="0" borderId="1" xfId="1" applyFont="1" applyBorder="1" applyAlignment="1">
      <alignment horizontal="center"/>
    </xf>
    <xf numFmtId="164" fontId="0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41" fontId="2" fillId="2" borderId="0" xfId="1" applyFont="1" applyFill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2" xfId="1" applyNumberFormat="1" applyFont="1" applyBorder="1" applyAlignment="1">
      <alignment horizontal="center"/>
    </xf>
    <xf numFmtId="41" fontId="2" fillId="0" borderId="2" xfId="1" applyFont="1" applyBorder="1" applyAlignment="1">
      <alignment horizontal="left"/>
    </xf>
    <xf numFmtId="41" fontId="2" fillId="0" borderId="2" xfId="1" applyFon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41" fontId="0" fillId="0" borderId="3" xfId="1" applyFont="1" applyBorder="1"/>
    <xf numFmtId="0" fontId="0" fillId="0" borderId="4" xfId="1" applyNumberFormat="1" applyFont="1" applyBorder="1" applyAlignment="1">
      <alignment horizontal="center"/>
    </xf>
    <xf numFmtId="41" fontId="0" fillId="0" borderId="4" xfId="1" applyFont="1" applyBorder="1"/>
    <xf numFmtId="0" fontId="0" fillId="0" borderId="5" xfId="1" applyNumberFormat="1" applyFont="1" applyBorder="1" applyAlignment="1">
      <alignment horizontal="center"/>
    </xf>
    <xf numFmtId="41" fontId="0" fillId="0" borderId="5" xfId="1" applyFont="1" applyBorder="1"/>
    <xf numFmtId="41" fontId="2" fillId="0" borderId="2" xfId="1" applyFont="1" applyBorder="1"/>
    <xf numFmtId="0" fontId="4" fillId="0" borderId="0" xfId="1" applyNumberFormat="1" applyFont="1" applyAlignment="1">
      <alignment horizontal="left"/>
    </xf>
    <xf numFmtId="41" fontId="3" fillId="0" borderId="0" xfId="1" applyFont="1" applyAlignment="1">
      <alignment horizontal="right"/>
    </xf>
    <xf numFmtId="10" fontId="0" fillId="0" borderId="0" xfId="2" applyNumberFormat="1" applyFont="1"/>
    <xf numFmtId="41" fontId="0" fillId="0" borderId="7" xfId="1" applyFont="1" applyBorder="1"/>
    <xf numFmtId="0" fontId="0" fillId="0" borderId="7" xfId="1" applyNumberFormat="1" applyFont="1" applyBorder="1" applyAlignment="1">
      <alignment horizontal="center"/>
    </xf>
    <xf numFmtId="41" fontId="0" fillId="0" borderId="8" xfId="1" applyFont="1" applyBorder="1"/>
    <xf numFmtId="41" fontId="0" fillId="0" borderId="10" xfId="1" applyFont="1" applyBorder="1"/>
    <xf numFmtId="0" fontId="0" fillId="0" borderId="10" xfId="1" applyNumberFormat="1" applyFont="1" applyBorder="1" applyAlignment="1">
      <alignment horizontal="center"/>
    </xf>
    <xf numFmtId="41" fontId="0" fillId="0" borderId="11" xfId="1" applyFont="1" applyBorder="1"/>
    <xf numFmtId="41" fontId="0" fillId="0" borderId="6" xfId="1" applyFont="1" applyBorder="1" applyAlignment="1">
      <alignment horizontal="center"/>
    </xf>
    <xf numFmtId="41" fontId="0" fillId="0" borderId="9" xfId="1" applyFont="1" applyBorder="1" applyAlignment="1">
      <alignment horizontal="center"/>
    </xf>
    <xf numFmtId="41" fontId="0" fillId="0" borderId="7" xfId="1" quotePrefix="1" applyFont="1" applyBorder="1"/>
    <xf numFmtId="41" fontId="2" fillId="0" borderId="13" xfId="1" applyFont="1" applyBorder="1"/>
    <xf numFmtId="0" fontId="0" fillId="0" borderId="13" xfId="1" applyNumberFormat="1" applyFont="1" applyBorder="1" applyAlignment="1">
      <alignment horizontal="center"/>
    </xf>
    <xf numFmtId="41" fontId="0" fillId="0" borderId="13" xfId="1" applyFont="1" applyBorder="1"/>
    <xf numFmtId="41" fontId="0" fillId="0" borderId="14" xfId="1" applyFont="1" applyBorder="1"/>
    <xf numFmtId="0" fontId="2" fillId="0" borderId="12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41" fontId="0" fillId="0" borderId="2" xfId="1" applyFont="1" applyBorder="1"/>
    <xf numFmtId="41" fontId="0" fillId="0" borderId="2" xfId="1" applyFont="1" applyBorder="1" applyAlignment="1">
      <alignment horizontal="center"/>
    </xf>
    <xf numFmtId="41" fontId="0" fillId="0" borderId="10" xfId="1" quotePrefix="1" applyFont="1" applyBorder="1"/>
    <xf numFmtId="41" fontId="0" fillId="0" borderId="15" xfId="1" applyFont="1" applyBorder="1"/>
    <xf numFmtId="41" fontId="0" fillId="0" borderId="16" xfId="1" applyFont="1" applyBorder="1"/>
    <xf numFmtId="0" fontId="0" fillId="0" borderId="16" xfId="1" applyNumberFormat="1" applyFont="1" applyBorder="1" applyAlignment="1">
      <alignment horizontal="center"/>
    </xf>
    <xf numFmtId="41" fontId="2" fillId="0" borderId="16" xfId="1" applyFont="1" applyBorder="1"/>
    <xf numFmtId="41" fontId="0" fillId="0" borderId="18" xfId="1" applyFont="1" applyBorder="1" applyAlignment="1">
      <alignment horizontal="center"/>
    </xf>
    <xf numFmtId="0" fontId="0" fillId="0" borderId="19" xfId="1" applyNumberFormat="1" applyFont="1" applyBorder="1" applyAlignment="1">
      <alignment horizontal="center"/>
    </xf>
    <xf numFmtId="41" fontId="0" fillId="0" borderId="19" xfId="1" applyFont="1" applyBorder="1"/>
    <xf numFmtId="41" fontId="0" fillId="0" borderId="20" xfId="1" applyFont="1" applyBorder="1"/>
    <xf numFmtId="41" fontId="0" fillId="0" borderId="2" xfId="1" quotePrefix="1" applyFont="1" applyBorder="1" applyAlignment="1">
      <alignment horizontal="center"/>
    </xf>
    <xf numFmtId="41" fontId="0" fillId="2" borderId="2" xfId="1" applyFont="1" applyFill="1" applyBorder="1"/>
    <xf numFmtId="41" fontId="0" fillId="3" borderId="2" xfId="1" applyFont="1" applyFill="1" applyBorder="1"/>
    <xf numFmtId="41" fontId="0" fillId="4" borderId="2" xfId="1" applyFont="1" applyFill="1" applyBorder="1"/>
    <xf numFmtId="41" fontId="0" fillId="0" borderId="12" xfId="1" applyFont="1" applyBorder="1" applyAlignment="1">
      <alignment horizontal="center"/>
    </xf>
    <xf numFmtId="9" fontId="2" fillId="0" borderId="2" xfId="2" applyFont="1" applyBorder="1"/>
    <xf numFmtId="9" fontId="0" fillId="0" borderId="0" xfId="2" applyFont="1" applyAlignment="1">
      <alignment horizontal="right"/>
    </xf>
    <xf numFmtId="9" fontId="0" fillId="0" borderId="0" xfId="2" applyFont="1"/>
    <xf numFmtId="164" fontId="5" fillId="0" borderId="0" xfId="2" applyNumberFormat="1" applyFont="1" applyAlignment="1">
      <alignment horizontal="right"/>
    </xf>
    <xf numFmtId="41" fontId="5" fillId="0" borderId="0" xfId="1" applyFont="1" applyAlignment="1">
      <alignment horizontal="center"/>
    </xf>
    <xf numFmtId="41" fontId="3" fillId="0" borderId="1" xfId="1" applyFont="1" applyBorder="1" applyAlignment="1">
      <alignment horizontal="right"/>
    </xf>
    <xf numFmtId="164" fontId="3" fillId="0" borderId="0" xfId="2" applyNumberFormat="1" applyFont="1" applyBorder="1" applyAlignment="1">
      <alignment horizontal="right"/>
    </xf>
    <xf numFmtId="41" fontId="6" fillId="0" borderId="7" xfId="1" applyFont="1" applyBorder="1"/>
    <xf numFmtId="41" fontId="0" fillId="5" borderId="4" xfId="1" applyFont="1" applyFill="1" applyBorder="1"/>
    <xf numFmtId="41" fontId="0" fillId="6" borderId="4" xfId="1" applyFont="1" applyFill="1" applyBorder="1"/>
    <xf numFmtId="41" fontId="0" fillId="3" borderId="4" xfId="1" applyFont="1" applyFill="1" applyBorder="1"/>
    <xf numFmtId="41" fontId="0" fillId="7" borderId="4" xfId="1" applyFont="1" applyFill="1" applyBorder="1"/>
    <xf numFmtId="10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2" fillId="0" borderId="0" xfId="1" applyFont="1" applyFill="1"/>
    <xf numFmtId="41" fontId="2" fillId="0" borderId="2" xfId="1" applyFont="1" applyFill="1" applyBorder="1" applyAlignment="1">
      <alignment horizontal="left"/>
    </xf>
    <xf numFmtId="41" fontId="0" fillId="0" borderId="4" xfId="1" applyFont="1" applyFill="1" applyBorder="1"/>
    <xf numFmtId="41" fontId="0" fillId="0" borderId="0" xfId="1" applyFont="1" applyFill="1"/>
    <xf numFmtId="41" fontId="3" fillId="0" borderId="0" xfId="1" applyFont="1"/>
    <xf numFmtId="41" fontId="3" fillId="0" borderId="0" xfId="1" quotePrefix="1" applyFont="1"/>
    <xf numFmtId="0" fontId="4" fillId="0" borderId="0" xfId="1" applyNumberFormat="1" applyFont="1" applyFill="1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41" fontId="2" fillId="0" borderId="2" xfId="1" applyFont="1" applyFill="1" applyBorder="1" applyAlignment="1">
      <alignment horizontal="center"/>
    </xf>
    <xf numFmtId="0" fontId="0" fillId="0" borderId="3" xfId="1" applyNumberFormat="1" applyFont="1" applyFill="1" applyBorder="1" applyAlignment="1">
      <alignment horizontal="center"/>
    </xf>
    <xf numFmtId="41" fontId="0" fillId="0" borderId="3" xfId="1" applyFont="1" applyFill="1" applyBorder="1"/>
    <xf numFmtId="0" fontId="0" fillId="0" borderId="4" xfId="1" applyNumberFormat="1" applyFont="1" applyFill="1" applyBorder="1" applyAlignment="1">
      <alignment horizontal="center"/>
    </xf>
    <xf numFmtId="0" fontId="0" fillId="0" borderId="0" xfId="1" applyNumberFormat="1" applyFont="1" applyFill="1" applyAlignment="1">
      <alignment horizontal="center"/>
    </xf>
    <xf numFmtId="41" fontId="0" fillId="0" borderId="0" xfId="1" quotePrefix="1" applyFont="1"/>
    <xf numFmtId="41" fontId="7" fillId="0" borderId="0" xfId="1" applyFont="1"/>
    <xf numFmtId="9" fontId="0" fillId="0" borderId="0" xfId="1" applyNumberFormat="1" applyFont="1" applyFill="1"/>
    <xf numFmtId="41" fontId="0" fillId="0" borderId="0" xfId="1" applyFont="1" applyFill="1" applyBorder="1"/>
    <xf numFmtId="0" fontId="0" fillId="0" borderId="0" xfId="1" applyNumberFormat="1" applyFont="1" applyFill="1" applyBorder="1" applyAlignment="1">
      <alignment horizontal="center"/>
    </xf>
    <xf numFmtId="41" fontId="2" fillId="8" borderId="2" xfId="1" applyFont="1" applyFill="1" applyBorder="1" applyAlignment="1">
      <alignment horizontal="center"/>
    </xf>
    <xf numFmtId="41" fontId="2" fillId="8" borderId="2" xfId="1" applyFont="1" applyFill="1" applyBorder="1" applyAlignment="1">
      <alignment horizontal="left"/>
    </xf>
    <xf numFmtId="0" fontId="2" fillId="8" borderId="2" xfId="1" applyNumberFormat="1" applyFont="1" applyFill="1" applyBorder="1" applyAlignment="1">
      <alignment horizontal="center"/>
    </xf>
    <xf numFmtId="0" fontId="2" fillId="8" borderId="12" xfId="1" applyNumberFormat="1" applyFont="1" applyFill="1" applyBorder="1" applyAlignment="1">
      <alignment horizontal="center"/>
    </xf>
    <xf numFmtId="41" fontId="2" fillId="8" borderId="13" xfId="1" applyFont="1" applyFill="1" applyBorder="1"/>
    <xf numFmtId="0" fontId="0" fillId="8" borderId="13" xfId="1" applyNumberFormat="1" applyFont="1" applyFill="1" applyBorder="1" applyAlignment="1">
      <alignment horizontal="center"/>
    </xf>
    <xf numFmtId="41" fontId="0" fillId="8" borderId="13" xfId="1" applyFont="1" applyFill="1" applyBorder="1"/>
    <xf numFmtId="41" fontId="0" fillId="8" borderId="14" xfId="1" applyFont="1" applyFill="1" applyBorder="1"/>
    <xf numFmtId="41" fontId="0" fillId="8" borderId="6" xfId="1" applyFont="1" applyFill="1" applyBorder="1" applyAlignment="1">
      <alignment horizontal="center"/>
    </xf>
    <xf numFmtId="41" fontId="0" fillId="8" borderId="7" xfId="1" quotePrefix="1" applyFont="1" applyFill="1" applyBorder="1"/>
    <xf numFmtId="0" fontId="0" fillId="8" borderId="7" xfId="1" applyNumberFormat="1" applyFont="1" applyFill="1" applyBorder="1" applyAlignment="1">
      <alignment horizontal="center"/>
    </xf>
    <xf numFmtId="41" fontId="0" fillId="8" borderId="7" xfId="1" applyFont="1" applyFill="1" applyBorder="1"/>
    <xf numFmtId="41" fontId="0" fillId="8" borderId="8" xfId="1" applyFont="1" applyFill="1" applyBorder="1"/>
    <xf numFmtId="41" fontId="6" fillId="8" borderId="7" xfId="1" applyFont="1" applyFill="1" applyBorder="1"/>
    <xf numFmtId="41" fontId="0" fillId="8" borderId="12" xfId="1" applyFont="1" applyFill="1" applyBorder="1" applyAlignment="1">
      <alignment horizontal="center"/>
    </xf>
    <xf numFmtId="0" fontId="0" fillId="8" borderId="19" xfId="1" applyNumberFormat="1" applyFont="1" applyFill="1" applyBorder="1" applyAlignment="1">
      <alignment horizontal="center"/>
    </xf>
    <xf numFmtId="41" fontId="0" fillId="8" borderId="19" xfId="1" applyFont="1" applyFill="1" applyBorder="1"/>
    <xf numFmtId="41" fontId="0" fillId="8" borderId="20" xfId="1" applyFont="1" applyFill="1" applyBorder="1"/>
    <xf numFmtId="41" fontId="0" fillId="8" borderId="18" xfId="1" applyFont="1" applyFill="1" applyBorder="1" applyAlignment="1">
      <alignment horizontal="center"/>
    </xf>
    <xf numFmtId="41" fontId="0" fillId="8" borderId="9" xfId="1" applyFont="1" applyFill="1" applyBorder="1" applyAlignment="1">
      <alignment horizontal="center"/>
    </xf>
    <xf numFmtId="41" fontId="0" fillId="8" borderId="10" xfId="1" quotePrefix="1" applyFont="1" applyFill="1" applyBorder="1"/>
    <xf numFmtId="0" fontId="0" fillId="8" borderId="10" xfId="1" applyNumberFormat="1" applyFont="1" applyFill="1" applyBorder="1" applyAlignment="1">
      <alignment horizontal="center"/>
    </xf>
    <xf numFmtId="41" fontId="0" fillId="8" borderId="10" xfId="1" applyFont="1" applyFill="1" applyBorder="1"/>
    <xf numFmtId="41" fontId="0" fillId="8" borderId="11" xfId="1" applyFont="1" applyFill="1" applyBorder="1"/>
    <xf numFmtId="41" fontId="0" fillId="8" borderId="15" xfId="1" applyFont="1" applyFill="1" applyBorder="1"/>
    <xf numFmtId="41" fontId="2" fillId="8" borderId="16" xfId="1" applyFont="1" applyFill="1" applyBorder="1"/>
    <xf numFmtId="0" fontId="0" fillId="8" borderId="16" xfId="1" applyNumberFormat="1" applyFont="1" applyFill="1" applyBorder="1" applyAlignment="1">
      <alignment horizontal="center"/>
    </xf>
    <xf numFmtId="41" fontId="0" fillId="8" borderId="16" xfId="1" applyFont="1" applyFill="1" applyBorder="1"/>
    <xf numFmtId="41" fontId="2" fillId="8" borderId="2" xfId="1" applyFont="1" applyFill="1" applyBorder="1"/>
    <xf numFmtId="41" fontId="2" fillId="2" borderId="15" xfId="1" applyFont="1" applyFill="1" applyBorder="1" applyAlignment="1">
      <alignment horizontal="left"/>
    </xf>
    <xf numFmtId="41" fontId="2" fillId="2" borderId="16" xfId="1" applyFont="1" applyFill="1" applyBorder="1" applyAlignment="1">
      <alignment horizontal="left"/>
    </xf>
    <xf numFmtId="41" fontId="2" fillId="2" borderId="17" xfId="1" applyFont="1" applyFill="1" applyBorder="1" applyAlignment="1">
      <alignment horizontal="left"/>
    </xf>
    <xf numFmtId="41" fontId="2" fillId="8" borderId="15" xfId="1" applyFont="1" applyFill="1" applyBorder="1" applyAlignment="1">
      <alignment horizontal="left"/>
    </xf>
    <xf numFmtId="41" fontId="2" fillId="8" borderId="16" xfId="1" applyFont="1" applyFill="1" applyBorder="1" applyAlignment="1">
      <alignment horizontal="left"/>
    </xf>
    <xf numFmtId="41" fontId="2" fillId="8" borderId="17" xfId="1" applyFont="1" applyFill="1" applyBorder="1" applyAlignment="1">
      <alignment horizontal="left"/>
    </xf>
    <xf numFmtId="41" fontId="2" fillId="4" borderId="15" xfId="1" applyFont="1" applyFill="1" applyBorder="1" applyAlignment="1">
      <alignment horizontal="left"/>
    </xf>
    <xf numFmtId="41" fontId="2" fillId="4" borderId="16" xfId="1" applyFont="1" applyFill="1" applyBorder="1" applyAlignment="1">
      <alignment horizontal="left"/>
    </xf>
    <xf numFmtId="41" fontId="2" fillId="4" borderId="17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0"/>
  <sheetViews>
    <sheetView showGridLines="0" tabSelected="1" view="pageBreakPreview" zoomScale="75" zoomScaleNormal="80" zoomScaleSheetLayoutView="75" workbookViewId="0">
      <selection activeCell="O9" sqref="O9"/>
    </sheetView>
  </sheetViews>
  <sheetFormatPr defaultRowHeight="15" x14ac:dyDescent="0.25"/>
  <cols>
    <col min="1" max="1" width="4.42578125" style="1" customWidth="1"/>
    <col min="2" max="2" width="31.85546875" style="1" bestFit="1" customWidth="1"/>
    <col min="3" max="4" width="14.42578125" style="4" customWidth="1"/>
    <col min="5" max="6" width="14.42578125" style="1" customWidth="1"/>
    <col min="7" max="7" width="9.140625" style="1"/>
    <col min="8" max="8" width="4.42578125" style="1" customWidth="1"/>
    <col min="9" max="9" width="31.85546875" style="1" bestFit="1" customWidth="1"/>
    <col min="10" max="11" width="14.42578125" style="4" customWidth="1"/>
    <col min="12" max="13" width="14.42578125" style="1" customWidth="1"/>
    <col min="14" max="16384" width="9.140625" style="1"/>
  </cols>
  <sheetData>
    <row r="2" spans="1:13" x14ac:dyDescent="0.25">
      <c r="A2" s="120" t="s">
        <v>143</v>
      </c>
      <c r="B2" s="121"/>
      <c r="C2" s="121"/>
      <c r="D2" s="121"/>
      <c r="E2" s="121"/>
      <c r="F2" s="122"/>
      <c r="H2" s="123" t="s">
        <v>133</v>
      </c>
      <c r="I2" s="124"/>
      <c r="J2" s="124"/>
      <c r="K2" s="124"/>
      <c r="L2" s="124"/>
      <c r="M2" s="125"/>
    </row>
    <row r="3" spans="1:13" s="6" customFormat="1" x14ac:dyDescent="0.25">
      <c r="A3" s="17" t="s">
        <v>35</v>
      </c>
      <c r="B3" s="16" t="s">
        <v>36</v>
      </c>
      <c r="C3" s="15" t="s">
        <v>44</v>
      </c>
      <c r="D3" s="15" t="s">
        <v>7</v>
      </c>
      <c r="E3" s="17" t="s">
        <v>8</v>
      </c>
      <c r="F3" s="17" t="s">
        <v>9</v>
      </c>
      <c r="H3" s="91" t="s">
        <v>35</v>
      </c>
      <c r="I3" s="92" t="s">
        <v>36</v>
      </c>
      <c r="J3" s="93" t="s">
        <v>44</v>
      </c>
      <c r="K3" s="93" t="s">
        <v>7</v>
      </c>
      <c r="L3" s="91" t="s">
        <v>8</v>
      </c>
      <c r="M3" s="91" t="s">
        <v>9</v>
      </c>
    </row>
    <row r="4" spans="1:13" x14ac:dyDescent="0.25">
      <c r="A4" s="41">
        <v>1</v>
      </c>
      <c r="B4" s="37" t="s">
        <v>6</v>
      </c>
      <c r="C4" s="38"/>
      <c r="D4" s="38"/>
      <c r="E4" s="39"/>
      <c r="F4" s="40"/>
      <c r="H4" s="94">
        <v>1</v>
      </c>
      <c r="I4" s="95" t="s">
        <v>6</v>
      </c>
      <c r="J4" s="96"/>
      <c r="K4" s="96"/>
      <c r="L4" s="97"/>
      <c r="M4" s="98"/>
    </row>
    <row r="5" spans="1:13" x14ac:dyDescent="0.25">
      <c r="A5" s="34"/>
      <c r="B5" s="36" t="s">
        <v>37</v>
      </c>
      <c r="C5" s="29">
        <v>1</v>
      </c>
      <c r="D5" s="29">
        <v>1</v>
      </c>
      <c r="E5" s="28">
        <v>140000</v>
      </c>
      <c r="F5" s="30">
        <f t="shared" ref="F5:F7" si="0">C5*D5*E5</f>
        <v>140000</v>
      </c>
      <c r="H5" s="99"/>
      <c r="I5" s="100" t="s">
        <v>37</v>
      </c>
      <c r="J5" s="101">
        <v>1</v>
      </c>
      <c r="K5" s="101">
        <v>3</v>
      </c>
      <c r="L5" s="102">
        <v>140000</v>
      </c>
      <c r="M5" s="103">
        <f t="shared" ref="M5:M7" si="1">J5*K5*L5</f>
        <v>420000</v>
      </c>
    </row>
    <row r="6" spans="1:13" x14ac:dyDescent="0.25">
      <c r="A6" s="34"/>
      <c r="B6" s="36" t="s">
        <v>38</v>
      </c>
      <c r="C6" s="29">
        <v>1</v>
      </c>
      <c r="D6" s="29">
        <v>1</v>
      </c>
      <c r="E6" s="28">
        <v>100000</v>
      </c>
      <c r="F6" s="30">
        <f t="shared" si="0"/>
        <v>100000</v>
      </c>
      <c r="H6" s="99"/>
      <c r="I6" s="100" t="s">
        <v>38</v>
      </c>
      <c r="J6" s="101">
        <v>1</v>
      </c>
      <c r="K6" s="101">
        <v>3</v>
      </c>
      <c r="L6" s="102">
        <v>100000</v>
      </c>
      <c r="M6" s="103">
        <f t="shared" si="1"/>
        <v>300000</v>
      </c>
    </row>
    <row r="7" spans="1:13" x14ac:dyDescent="0.25">
      <c r="A7" s="34"/>
      <c r="B7" s="36" t="s">
        <v>39</v>
      </c>
      <c r="C7" s="29">
        <v>1</v>
      </c>
      <c r="D7" s="29">
        <v>1</v>
      </c>
      <c r="E7" s="28">
        <v>50000</v>
      </c>
      <c r="F7" s="30">
        <f t="shared" si="0"/>
        <v>50000</v>
      </c>
      <c r="H7" s="99"/>
      <c r="I7" s="100" t="s">
        <v>39</v>
      </c>
      <c r="J7" s="101">
        <v>1</v>
      </c>
      <c r="K7" s="101">
        <v>3</v>
      </c>
      <c r="L7" s="102">
        <v>50000</v>
      </c>
      <c r="M7" s="103">
        <f t="shared" si="1"/>
        <v>150000</v>
      </c>
    </row>
    <row r="8" spans="1:13" x14ac:dyDescent="0.25">
      <c r="A8" s="41">
        <f>A4+1</f>
        <v>2</v>
      </c>
      <c r="B8" s="37" t="s">
        <v>40</v>
      </c>
      <c r="C8" s="29"/>
      <c r="D8" s="29"/>
      <c r="E8" s="28"/>
      <c r="F8" s="30"/>
      <c r="H8" s="94">
        <f>H4+1</f>
        <v>2</v>
      </c>
      <c r="I8" s="95" t="s">
        <v>40</v>
      </c>
      <c r="J8" s="101"/>
      <c r="K8" s="101"/>
      <c r="L8" s="102"/>
      <c r="M8" s="103"/>
    </row>
    <row r="9" spans="1:13" x14ac:dyDescent="0.25">
      <c r="A9" s="41"/>
      <c r="B9" s="36" t="s">
        <v>54</v>
      </c>
      <c r="C9" s="29">
        <v>0</v>
      </c>
      <c r="D9" s="29">
        <v>1</v>
      </c>
      <c r="E9" s="28">
        <v>400000</v>
      </c>
      <c r="F9" s="30">
        <f t="shared" ref="F9:F14" si="2">C9*D9*E9</f>
        <v>0</v>
      </c>
      <c r="H9" s="94"/>
      <c r="I9" s="100" t="s">
        <v>54</v>
      </c>
      <c r="J9" s="101">
        <v>0</v>
      </c>
      <c r="K9" s="101">
        <v>1</v>
      </c>
      <c r="L9" s="102">
        <v>400000</v>
      </c>
      <c r="M9" s="103">
        <f t="shared" ref="M9:M15" si="3">J9*K9*L9</f>
        <v>0</v>
      </c>
    </row>
    <row r="10" spans="1:13" x14ac:dyDescent="0.25">
      <c r="A10" s="41"/>
      <c r="B10" s="36" t="s">
        <v>58</v>
      </c>
      <c r="C10" s="29">
        <v>0</v>
      </c>
      <c r="D10" s="29">
        <v>2</v>
      </c>
      <c r="E10" s="66">
        <v>2000000</v>
      </c>
      <c r="F10" s="30">
        <f t="shared" ref="F10:F11" si="4">C10*D10*E10</f>
        <v>0</v>
      </c>
      <c r="H10" s="94"/>
      <c r="I10" s="100" t="s">
        <v>58</v>
      </c>
      <c r="J10" s="101">
        <v>0</v>
      </c>
      <c r="K10" s="101">
        <v>2</v>
      </c>
      <c r="L10" s="104">
        <v>783400</v>
      </c>
      <c r="M10" s="103">
        <f t="shared" si="3"/>
        <v>0</v>
      </c>
    </row>
    <row r="11" spans="1:13" x14ac:dyDescent="0.25">
      <c r="A11" s="41"/>
      <c r="B11" s="36" t="s">
        <v>59</v>
      </c>
      <c r="C11" s="29">
        <v>0</v>
      </c>
      <c r="D11" s="29">
        <v>2</v>
      </c>
      <c r="E11" s="28">
        <v>500000</v>
      </c>
      <c r="F11" s="30">
        <f t="shared" si="4"/>
        <v>0</v>
      </c>
      <c r="H11" s="94"/>
      <c r="I11" s="100" t="s">
        <v>59</v>
      </c>
      <c r="J11" s="101">
        <v>0</v>
      </c>
      <c r="K11" s="101">
        <v>1</v>
      </c>
      <c r="L11" s="102">
        <v>500000</v>
      </c>
      <c r="M11" s="103">
        <f t="shared" si="3"/>
        <v>0</v>
      </c>
    </row>
    <row r="12" spans="1:13" x14ac:dyDescent="0.25">
      <c r="A12" s="41"/>
      <c r="B12" s="36" t="s">
        <v>55</v>
      </c>
      <c r="C12" s="29">
        <v>0</v>
      </c>
      <c r="D12" s="29">
        <v>1</v>
      </c>
      <c r="E12" s="28">
        <v>500000</v>
      </c>
      <c r="F12" s="30">
        <f t="shared" si="2"/>
        <v>0</v>
      </c>
      <c r="H12" s="94"/>
      <c r="I12" s="100" t="s">
        <v>55</v>
      </c>
      <c r="J12" s="101">
        <v>0</v>
      </c>
      <c r="K12" s="101">
        <v>2</v>
      </c>
      <c r="L12" s="102">
        <v>500000</v>
      </c>
      <c r="M12" s="103">
        <f t="shared" si="3"/>
        <v>0</v>
      </c>
    </row>
    <row r="13" spans="1:13" x14ac:dyDescent="0.25">
      <c r="A13" s="34"/>
      <c r="B13" s="36" t="s">
        <v>41</v>
      </c>
      <c r="C13" s="29">
        <v>1</v>
      </c>
      <c r="D13" s="29">
        <v>1</v>
      </c>
      <c r="E13" s="28">
        <v>100000</v>
      </c>
      <c r="F13" s="30">
        <f t="shared" si="2"/>
        <v>100000</v>
      </c>
      <c r="H13" s="99"/>
      <c r="I13" s="100" t="s">
        <v>41</v>
      </c>
      <c r="J13" s="101">
        <v>1</v>
      </c>
      <c r="K13" s="101">
        <v>3</v>
      </c>
      <c r="L13" s="102">
        <v>100000</v>
      </c>
      <c r="M13" s="103">
        <f t="shared" si="3"/>
        <v>300000</v>
      </c>
    </row>
    <row r="14" spans="1:13" x14ac:dyDescent="0.25">
      <c r="A14" s="34"/>
      <c r="B14" s="36" t="s">
        <v>43</v>
      </c>
      <c r="C14" s="29">
        <v>1</v>
      </c>
      <c r="D14" s="29">
        <v>1</v>
      </c>
      <c r="E14" s="28">
        <v>75000</v>
      </c>
      <c r="F14" s="30">
        <f t="shared" si="2"/>
        <v>75000</v>
      </c>
      <c r="H14" s="99"/>
      <c r="I14" s="100" t="s">
        <v>43</v>
      </c>
      <c r="J14" s="101">
        <v>1</v>
      </c>
      <c r="K14" s="101">
        <v>3</v>
      </c>
      <c r="L14" s="102">
        <v>50000</v>
      </c>
      <c r="M14" s="103">
        <f t="shared" si="3"/>
        <v>150000</v>
      </c>
    </row>
    <row r="15" spans="1:13" x14ac:dyDescent="0.25">
      <c r="A15" s="58"/>
      <c r="B15" s="36" t="s">
        <v>56</v>
      </c>
      <c r="C15" s="29">
        <v>0</v>
      </c>
      <c r="D15" s="29">
        <v>1</v>
      </c>
      <c r="E15" s="28">
        <v>75000</v>
      </c>
      <c r="F15" s="30">
        <f t="shared" ref="F15" si="5">C15*D15*E15</f>
        <v>0</v>
      </c>
      <c r="H15" s="105"/>
      <c r="I15" s="100" t="s">
        <v>56</v>
      </c>
      <c r="J15" s="101">
        <v>0</v>
      </c>
      <c r="K15" s="101">
        <v>1</v>
      </c>
      <c r="L15" s="102">
        <v>75000</v>
      </c>
      <c r="M15" s="103">
        <f t="shared" si="3"/>
        <v>0</v>
      </c>
    </row>
    <row r="16" spans="1:13" x14ac:dyDescent="0.25">
      <c r="A16" s="41">
        <v>3</v>
      </c>
      <c r="B16" s="37" t="s">
        <v>47</v>
      </c>
      <c r="C16" s="51"/>
      <c r="D16" s="51"/>
      <c r="E16" s="52"/>
      <c r="F16" s="53"/>
      <c r="H16" s="94">
        <v>3</v>
      </c>
      <c r="I16" s="95" t="s">
        <v>47</v>
      </c>
      <c r="J16" s="106"/>
      <c r="K16" s="106"/>
      <c r="L16" s="107"/>
      <c r="M16" s="108"/>
    </row>
    <row r="17" spans="1:13" x14ac:dyDescent="0.25">
      <c r="A17" s="50"/>
      <c r="B17" s="36" t="s">
        <v>48</v>
      </c>
      <c r="C17" s="29">
        <v>0</v>
      </c>
      <c r="D17" s="29">
        <v>1</v>
      </c>
      <c r="E17" s="28">
        <v>50000</v>
      </c>
      <c r="F17" s="30">
        <f t="shared" ref="F17:F18" si="6">C17*D17*E17</f>
        <v>0</v>
      </c>
      <c r="H17" s="109"/>
      <c r="I17" s="100" t="s">
        <v>48</v>
      </c>
      <c r="J17" s="101">
        <v>0</v>
      </c>
      <c r="K17" s="101">
        <v>1</v>
      </c>
      <c r="L17" s="102">
        <v>50000</v>
      </c>
      <c r="M17" s="103">
        <f t="shared" ref="M17:M19" si="7">J17*K17*L17</f>
        <v>0</v>
      </c>
    </row>
    <row r="18" spans="1:13" x14ac:dyDescent="0.25">
      <c r="A18" s="50"/>
      <c r="B18" s="36" t="s">
        <v>138</v>
      </c>
      <c r="C18" s="29">
        <v>0</v>
      </c>
      <c r="D18" s="29">
        <v>1</v>
      </c>
      <c r="E18" s="28">
        <v>25000</v>
      </c>
      <c r="F18" s="30">
        <f t="shared" si="6"/>
        <v>0</v>
      </c>
      <c r="H18" s="109"/>
      <c r="I18" s="100" t="s">
        <v>138</v>
      </c>
      <c r="J18" s="101">
        <v>1</v>
      </c>
      <c r="K18" s="101">
        <v>1</v>
      </c>
      <c r="L18" s="102">
        <v>25000</v>
      </c>
      <c r="M18" s="103">
        <f t="shared" ref="M18" si="8">J18*K18*L18</f>
        <v>25000</v>
      </c>
    </row>
    <row r="19" spans="1:13" x14ac:dyDescent="0.25">
      <c r="A19" s="50"/>
      <c r="B19" s="36" t="s">
        <v>57</v>
      </c>
      <c r="C19" s="29">
        <v>0</v>
      </c>
      <c r="D19" s="29">
        <v>2</v>
      </c>
      <c r="E19" s="28">
        <v>275000</v>
      </c>
      <c r="F19" s="30">
        <f t="shared" ref="F19" si="9">C19*D19*E19</f>
        <v>0</v>
      </c>
      <c r="H19" s="109"/>
      <c r="I19" s="100" t="s">
        <v>57</v>
      </c>
      <c r="J19" s="101">
        <v>0</v>
      </c>
      <c r="K19" s="101">
        <v>2</v>
      </c>
      <c r="L19" s="102">
        <v>250000</v>
      </c>
      <c r="M19" s="103">
        <f t="shared" si="7"/>
        <v>0</v>
      </c>
    </row>
    <row r="20" spans="1:13" x14ac:dyDescent="0.25">
      <c r="A20" s="35"/>
      <c r="B20" s="45"/>
      <c r="C20" s="32"/>
      <c r="D20" s="32"/>
      <c r="E20" s="31"/>
      <c r="F20" s="33"/>
      <c r="H20" s="110"/>
      <c r="I20" s="111"/>
      <c r="J20" s="112"/>
      <c r="K20" s="112"/>
      <c r="L20" s="113"/>
      <c r="M20" s="114"/>
    </row>
    <row r="21" spans="1:13" x14ac:dyDescent="0.25">
      <c r="A21" s="46"/>
      <c r="B21" s="49" t="s">
        <v>45</v>
      </c>
      <c r="C21" s="48"/>
      <c r="D21" s="48"/>
      <c r="E21" s="47"/>
      <c r="F21" s="24">
        <f>SUM(F5:F19)</f>
        <v>465000</v>
      </c>
      <c r="H21" s="115"/>
      <c r="I21" s="116" t="s">
        <v>45</v>
      </c>
      <c r="J21" s="117"/>
      <c r="K21" s="117"/>
      <c r="L21" s="118"/>
      <c r="M21" s="119">
        <f>SUM(M5:M19)</f>
        <v>1345000</v>
      </c>
    </row>
    <row r="23" spans="1:13" hidden="1" x14ac:dyDescent="0.25">
      <c r="A23" s="123" t="s">
        <v>134</v>
      </c>
      <c r="B23" s="124"/>
      <c r="C23" s="124"/>
      <c r="D23" s="124"/>
      <c r="E23" s="124"/>
      <c r="F23" s="125"/>
      <c r="H23" s="123" t="s">
        <v>135</v>
      </c>
      <c r="I23" s="124"/>
      <c r="J23" s="124"/>
      <c r="K23" s="124"/>
      <c r="L23" s="124"/>
      <c r="M23" s="125"/>
    </row>
    <row r="24" spans="1:13" hidden="1" x14ac:dyDescent="0.25">
      <c r="A24" s="91" t="s">
        <v>35</v>
      </c>
      <c r="B24" s="92" t="s">
        <v>36</v>
      </c>
      <c r="C24" s="93" t="s">
        <v>44</v>
      </c>
      <c r="D24" s="93" t="s">
        <v>7</v>
      </c>
      <c r="E24" s="91" t="s">
        <v>8</v>
      </c>
      <c r="F24" s="91" t="s">
        <v>9</v>
      </c>
      <c r="H24" s="91" t="s">
        <v>35</v>
      </c>
      <c r="I24" s="92" t="s">
        <v>36</v>
      </c>
      <c r="J24" s="93" t="s">
        <v>44</v>
      </c>
      <c r="K24" s="93" t="s">
        <v>7</v>
      </c>
      <c r="L24" s="91" t="s">
        <v>8</v>
      </c>
      <c r="M24" s="91" t="s">
        <v>9</v>
      </c>
    </row>
    <row r="25" spans="1:13" hidden="1" x14ac:dyDescent="0.25">
      <c r="A25" s="94">
        <v>1</v>
      </c>
      <c r="B25" s="95" t="s">
        <v>6</v>
      </c>
      <c r="C25" s="96"/>
      <c r="D25" s="96"/>
      <c r="E25" s="97"/>
      <c r="F25" s="98"/>
      <c r="H25" s="94">
        <v>1</v>
      </c>
      <c r="I25" s="95" t="s">
        <v>6</v>
      </c>
      <c r="J25" s="96"/>
      <c r="K25" s="96"/>
      <c r="L25" s="97"/>
      <c r="M25" s="98"/>
    </row>
    <row r="26" spans="1:13" hidden="1" x14ac:dyDescent="0.25">
      <c r="A26" s="99"/>
      <c r="B26" s="100" t="s">
        <v>37</v>
      </c>
      <c r="C26" s="101">
        <v>1</v>
      </c>
      <c r="D26" s="101">
        <v>3</v>
      </c>
      <c r="E26" s="102">
        <v>200000</v>
      </c>
      <c r="F26" s="103">
        <f t="shared" ref="F26:F28" si="10">C26*D26*E26</f>
        <v>600000</v>
      </c>
      <c r="H26" s="99"/>
      <c r="I26" s="100" t="s">
        <v>37</v>
      </c>
      <c r="J26" s="101">
        <v>1</v>
      </c>
      <c r="K26" s="101">
        <v>1</v>
      </c>
      <c r="L26" s="102">
        <v>140000</v>
      </c>
      <c r="M26" s="103">
        <f t="shared" ref="M26:M28" si="11">J26*K26*L26</f>
        <v>140000</v>
      </c>
    </row>
    <row r="27" spans="1:13" hidden="1" x14ac:dyDescent="0.25">
      <c r="A27" s="99"/>
      <c r="B27" s="100" t="s">
        <v>38</v>
      </c>
      <c r="C27" s="101">
        <v>0</v>
      </c>
      <c r="D27" s="101">
        <v>3</v>
      </c>
      <c r="E27" s="102">
        <v>150000</v>
      </c>
      <c r="F27" s="103">
        <f t="shared" si="10"/>
        <v>0</v>
      </c>
      <c r="H27" s="99"/>
      <c r="I27" s="100" t="s">
        <v>38</v>
      </c>
      <c r="J27" s="101">
        <v>0</v>
      </c>
      <c r="K27" s="101">
        <v>2</v>
      </c>
      <c r="L27" s="102">
        <v>150000</v>
      </c>
      <c r="M27" s="103">
        <f t="shared" si="11"/>
        <v>0</v>
      </c>
    </row>
    <row r="28" spans="1:13" hidden="1" x14ac:dyDescent="0.25">
      <c r="A28" s="99"/>
      <c r="B28" s="100" t="s">
        <v>39</v>
      </c>
      <c r="C28" s="101">
        <v>0</v>
      </c>
      <c r="D28" s="101">
        <v>1</v>
      </c>
      <c r="E28" s="102">
        <v>50000</v>
      </c>
      <c r="F28" s="103">
        <f t="shared" si="10"/>
        <v>0</v>
      </c>
      <c r="H28" s="99"/>
      <c r="I28" s="100" t="s">
        <v>39</v>
      </c>
      <c r="J28" s="101">
        <v>1</v>
      </c>
      <c r="K28" s="101">
        <v>1</v>
      </c>
      <c r="L28" s="102">
        <v>50000</v>
      </c>
      <c r="M28" s="103">
        <f t="shared" si="11"/>
        <v>50000</v>
      </c>
    </row>
    <row r="29" spans="1:13" hidden="1" x14ac:dyDescent="0.25">
      <c r="A29" s="94">
        <f>A25+1</f>
        <v>2</v>
      </c>
      <c r="B29" s="95" t="s">
        <v>40</v>
      </c>
      <c r="C29" s="101"/>
      <c r="D29" s="101"/>
      <c r="E29" s="102"/>
      <c r="F29" s="103"/>
      <c r="H29" s="94">
        <f>H25+1</f>
        <v>2</v>
      </c>
      <c r="I29" s="95" t="s">
        <v>40</v>
      </c>
      <c r="J29" s="101"/>
      <c r="K29" s="101"/>
      <c r="L29" s="102"/>
      <c r="M29" s="103"/>
    </row>
    <row r="30" spans="1:13" hidden="1" x14ac:dyDescent="0.25">
      <c r="A30" s="94"/>
      <c r="B30" s="100" t="s">
        <v>54</v>
      </c>
      <c r="C30" s="101">
        <v>1</v>
      </c>
      <c r="D30" s="101">
        <v>1</v>
      </c>
      <c r="E30" s="102">
        <v>400000</v>
      </c>
      <c r="F30" s="103">
        <f t="shared" ref="F30:F36" si="12">C30*D30*E30</f>
        <v>400000</v>
      </c>
      <c r="H30" s="94"/>
      <c r="I30" s="100" t="s">
        <v>54</v>
      </c>
      <c r="J30" s="101">
        <v>0</v>
      </c>
      <c r="K30" s="101">
        <v>1</v>
      </c>
      <c r="L30" s="102">
        <v>400000</v>
      </c>
      <c r="M30" s="103">
        <f t="shared" ref="M30:M36" si="13">J30*K30*L30</f>
        <v>0</v>
      </c>
    </row>
    <row r="31" spans="1:13" hidden="1" x14ac:dyDescent="0.25">
      <c r="A31" s="94"/>
      <c r="B31" s="100" t="s">
        <v>58</v>
      </c>
      <c r="C31" s="101">
        <v>1</v>
      </c>
      <c r="D31" s="101">
        <v>2</v>
      </c>
      <c r="E31" s="104">
        <v>924900</v>
      </c>
      <c r="F31" s="103">
        <f t="shared" si="12"/>
        <v>1849800</v>
      </c>
      <c r="H31" s="94"/>
      <c r="I31" s="100" t="s">
        <v>58</v>
      </c>
      <c r="J31" s="101">
        <v>0</v>
      </c>
      <c r="K31" s="101">
        <v>2</v>
      </c>
      <c r="L31" s="104">
        <v>715900</v>
      </c>
      <c r="M31" s="103">
        <f t="shared" si="13"/>
        <v>0</v>
      </c>
    </row>
    <row r="32" spans="1:13" hidden="1" x14ac:dyDescent="0.25">
      <c r="A32" s="94"/>
      <c r="B32" s="100" t="s">
        <v>59</v>
      </c>
      <c r="C32" s="101">
        <v>1</v>
      </c>
      <c r="D32" s="101">
        <v>3</v>
      </c>
      <c r="E32" s="102">
        <v>500000</v>
      </c>
      <c r="F32" s="103">
        <f t="shared" si="12"/>
        <v>1500000</v>
      </c>
      <c r="H32" s="94"/>
      <c r="I32" s="100" t="s">
        <v>59</v>
      </c>
      <c r="J32" s="101">
        <v>0</v>
      </c>
      <c r="K32" s="101">
        <v>1</v>
      </c>
      <c r="L32" s="102">
        <v>500000</v>
      </c>
      <c r="M32" s="103">
        <f t="shared" si="13"/>
        <v>0</v>
      </c>
    </row>
    <row r="33" spans="1:13" hidden="1" x14ac:dyDescent="0.25">
      <c r="A33" s="94"/>
      <c r="B33" s="100" t="s">
        <v>55</v>
      </c>
      <c r="C33" s="101">
        <v>1</v>
      </c>
      <c r="D33" s="101">
        <v>3</v>
      </c>
      <c r="E33" s="102">
        <v>500000</v>
      </c>
      <c r="F33" s="103">
        <f t="shared" si="12"/>
        <v>1500000</v>
      </c>
      <c r="H33" s="94"/>
      <c r="I33" s="100" t="s">
        <v>55</v>
      </c>
      <c r="J33" s="101">
        <v>0</v>
      </c>
      <c r="K33" s="101">
        <v>1</v>
      </c>
      <c r="L33" s="102">
        <v>500000</v>
      </c>
      <c r="M33" s="103">
        <f t="shared" si="13"/>
        <v>0</v>
      </c>
    </row>
    <row r="34" spans="1:13" hidden="1" x14ac:dyDescent="0.25">
      <c r="A34" s="99"/>
      <c r="B34" s="100" t="s">
        <v>41</v>
      </c>
      <c r="C34" s="101">
        <v>1</v>
      </c>
      <c r="D34" s="101">
        <v>3</v>
      </c>
      <c r="E34" s="102">
        <v>150000</v>
      </c>
      <c r="F34" s="103">
        <f t="shared" si="12"/>
        <v>450000</v>
      </c>
      <c r="H34" s="99"/>
      <c r="I34" s="100" t="s">
        <v>41</v>
      </c>
      <c r="J34" s="101">
        <v>1</v>
      </c>
      <c r="K34" s="101">
        <v>1</v>
      </c>
      <c r="L34" s="102">
        <v>50000</v>
      </c>
      <c r="M34" s="103">
        <f t="shared" si="13"/>
        <v>50000</v>
      </c>
    </row>
    <row r="35" spans="1:13" hidden="1" x14ac:dyDescent="0.25">
      <c r="A35" s="99"/>
      <c r="B35" s="100" t="s">
        <v>43</v>
      </c>
      <c r="C35" s="101">
        <v>1</v>
      </c>
      <c r="D35" s="101">
        <v>3</v>
      </c>
      <c r="E35" s="102">
        <f>50000</f>
        <v>50000</v>
      </c>
      <c r="F35" s="103">
        <f t="shared" si="12"/>
        <v>150000</v>
      </c>
      <c r="H35" s="99"/>
      <c r="I35" s="100" t="s">
        <v>43</v>
      </c>
      <c r="J35" s="101">
        <v>0</v>
      </c>
      <c r="K35" s="101">
        <v>1</v>
      </c>
      <c r="L35" s="102">
        <v>25000</v>
      </c>
      <c r="M35" s="103">
        <f t="shared" si="13"/>
        <v>0</v>
      </c>
    </row>
    <row r="36" spans="1:13" hidden="1" x14ac:dyDescent="0.25">
      <c r="A36" s="105"/>
      <c r="B36" s="100" t="s">
        <v>56</v>
      </c>
      <c r="C36" s="101">
        <v>1</v>
      </c>
      <c r="D36" s="101">
        <v>1</v>
      </c>
      <c r="E36" s="102">
        <v>75000</v>
      </c>
      <c r="F36" s="103">
        <f t="shared" si="12"/>
        <v>75000</v>
      </c>
      <c r="H36" s="105"/>
      <c r="I36" s="100" t="s">
        <v>56</v>
      </c>
      <c r="J36" s="101">
        <v>0</v>
      </c>
      <c r="K36" s="101">
        <v>1</v>
      </c>
      <c r="L36" s="102">
        <v>75000</v>
      </c>
      <c r="M36" s="103">
        <f t="shared" si="13"/>
        <v>0</v>
      </c>
    </row>
    <row r="37" spans="1:13" hidden="1" x14ac:dyDescent="0.25">
      <c r="A37" s="94">
        <v>3</v>
      </c>
      <c r="B37" s="95" t="s">
        <v>47</v>
      </c>
      <c r="C37" s="106"/>
      <c r="D37" s="106"/>
      <c r="E37" s="107"/>
      <c r="F37" s="108"/>
      <c r="H37" s="94">
        <v>3</v>
      </c>
      <c r="I37" s="95" t="s">
        <v>47</v>
      </c>
      <c r="J37" s="106"/>
      <c r="K37" s="106"/>
      <c r="L37" s="107"/>
      <c r="M37" s="108"/>
    </row>
    <row r="38" spans="1:13" hidden="1" x14ac:dyDescent="0.25">
      <c r="A38" s="109"/>
      <c r="B38" s="100" t="s">
        <v>48</v>
      </c>
      <c r="C38" s="101">
        <v>0</v>
      </c>
      <c r="D38" s="101">
        <v>1</v>
      </c>
      <c r="E38" s="102">
        <v>50000</v>
      </c>
      <c r="F38" s="103">
        <f t="shared" ref="F38:F40" si="14">C38*D38*E38</f>
        <v>0</v>
      </c>
      <c r="H38" s="109"/>
      <c r="I38" s="100" t="s">
        <v>48</v>
      </c>
      <c r="J38" s="101">
        <v>0</v>
      </c>
      <c r="K38" s="101">
        <v>1</v>
      </c>
      <c r="L38" s="102">
        <v>50000</v>
      </c>
      <c r="M38" s="103">
        <f t="shared" ref="M38:M40" si="15">J38*K38*L38</f>
        <v>0</v>
      </c>
    </row>
    <row r="39" spans="1:13" hidden="1" x14ac:dyDescent="0.25">
      <c r="A39" s="109"/>
      <c r="B39" s="100" t="s">
        <v>138</v>
      </c>
      <c r="C39" s="101">
        <v>1</v>
      </c>
      <c r="D39" s="101">
        <v>1</v>
      </c>
      <c r="E39" s="102">
        <v>200000</v>
      </c>
      <c r="F39" s="103">
        <f t="shared" si="14"/>
        <v>200000</v>
      </c>
      <c r="H39" s="109"/>
      <c r="I39" s="100" t="s">
        <v>138</v>
      </c>
      <c r="J39" s="101">
        <v>0</v>
      </c>
      <c r="K39" s="101">
        <v>1</v>
      </c>
      <c r="L39" s="102">
        <v>25000</v>
      </c>
      <c r="M39" s="103">
        <f t="shared" si="15"/>
        <v>0</v>
      </c>
    </row>
    <row r="40" spans="1:13" hidden="1" x14ac:dyDescent="0.25">
      <c r="A40" s="109"/>
      <c r="B40" s="100" t="s">
        <v>57</v>
      </c>
      <c r="C40" s="101">
        <v>2</v>
      </c>
      <c r="D40" s="101">
        <v>2</v>
      </c>
      <c r="E40" s="102">
        <v>250000</v>
      </c>
      <c r="F40" s="103">
        <f t="shared" si="14"/>
        <v>1000000</v>
      </c>
      <c r="H40" s="109"/>
      <c r="I40" s="100" t="s">
        <v>57</v>
      </c>
      <c r="J40" s="101">
        <v>0</v>
      </c>
      <c r="K40" s="101">
        <v>1</v>
      </c>
      <c r="L40" s="102">
        <v>250000</v>
      </c>
      <c r="M40" s="103">
        <f t="shared" si="15"/>
        <v>0</v>
      </c>
    </row>
    <row r="41" spans="1:13" hidden="1" x14ac:dyDescent="0.25">
      <c r="A41" s="110"/>
      <c r="B41" s="111"/>
      <c r="C41" s="112"/>
      <c r="D41" s="112"/>
      <c r="E41" s="113"/>
      <c r="F41" s="114"/>
      <c r="H41" s="110"/>
      <c r="I41" s="111"/>
      <c r="J41" s="112"/>
      <c r="K41" s="112"/>
      <c r="L41" s="113"/>
      <c r="M41" s="114"/>
    </row>
    <row r="42" spans="1:13" hidden="1" x14ac:dyDescent="0.25">
      <c r="A42" s="115"/>
      <c r="B42" s="116" t="s">
        <v>45</v>
      </c>
      <c r="C42" s="117"/>
      <c r="D42" s="117"/>
      <c r="E42" s="118"/>
      <c r="F42" s="119">
        <f>SUM(F26:F40)</f>
        <v>7724800</v>
      </c>
      <c r="H42" s="115"/>
      <c r="I42" s="116" t="s">
        <v>45</v>
      </c>
      <c r="J42" s="117"/>
      <c r="K42" s="117"/>
      <c r="L42" s="118"/>
      <c r="M42" s="119">
        <f>SUM(M26:M40)</f>
        <v>240000</v>
      </c>
    </row>
    <row r="43" spans="1:13" hidden="1" x14ac:dyDescent="0.25">
      <c r="F43" s="6"/>
      <c r="M43" s="6"/>
    </row>
    <row r="44" spans="1:13" hidden="1" x14ac:dyDescent="0.25">
      <c r="A44" s="123" t="s">
        <v>136</v>
      </c>
      <c r="B44" s="124"/>
      <c r="C44" s="124"/>
      <c r="D44" s="124"/>
      <c r="E44" s="124"/>
      <c r="F44" s="125"/>
      <c r="H44" s="123" t="s">
        <v>137</v>
      </c>
      <c r="I44" s="124"/>
      <c r="J44" s="124"/>
      <c r="K44" s="124"/>
      <c r="L44" s="124"/>
      <c r="M44" s="125"/>
    </row>
    <row r="45" spans="1:13" hidden="1" x14ac:dyDescent="0.25">
      <c r="A45" s="91" t="s">
        <v>35</v>
      </c>
      <c r="B45" s="92" t="s">
        <v>36</v>
      </c>
      <c r="C45" s="93" t="s">
        <v>44</v>
      </c>
      <c r="D45" s="93" t="s">
        <v>7</v>
      </c>
      <c r="E45" s="91" t="s">
        <v>8</v>
      </c>
      <c r="F45" s="91" t="s">
        <v>9</v>
      </c>
      <c r="H45" s="91" t="s">
        <v>35</v>
      </c>
      <c r="I45" s="92" t="s">
        <v>36</v>
      </c>
      <c r="J45" s="93" t="s">
        <v>44</v>
      </c>
      <c r="K45" s="93" t="s">
        <v>7</v>
      </c>
      <c r="L45" s="91" t="s">
        <v>8</v>
      </c>
      <c r="M45" s="91" t="s">
        <v>9</v>
      </c>
    </row>
    <row r="46" spans="1:13" hidden="1" x14ac:dyDescent="0.25">
      <c r="A46" s="94">
        <v>1</v>
      </c>
      <c r="B46" s="95" t="s">
        <v>6</v>
      </c>
      <c r="C46" s="96"/>
      <c r="D46" s="96"/>
      <c r="E46" s="97"/>
      <c r="F46" s="98"/>
      <c r="H46" s="94">
        <v>1</v>
      </c>
      <c r="I46" s="95" t="s">
        <v>6</v>
      </c>
      <c r="J46" s="96"/>
      <c r="K46" s="96"/>
      <c r="L46" s="97"/>
      <c r="M46" s="98"/>
    </row>
    <row r="47" spans="1:13" hidden="1" x14ac:dyDescent="0.25">
      <c r="A47" s="99"/>
      <c r="B47" s="100" t="s">
        <v>37</v>
      </c>
      <c r="C47" s="101">
        <v>0</v>
      </c>
      <c r="D47" s="101">
        <v>2</v>
      </c>
      <c r="E47" s="102">
        <v>200000</v>
      </c>
      <c r="F47" s="103">
        <f t="shared" ref="F47:F49" si="16">C47*D47*E47</f>
        <v>0</v>
      </c>
      <c r="H47" s="99"/>
      <c r="I47" s="100" t="s">
        <v>37</v>
      </c>
      <c r="J47" s="101">
        <v>1</v>
      </c>
      <c r="K47" s="101">
        <v>2</v>
      </c>
      <c r="L47" s="102">
        <v>200000</v>
      </c>
      <c r="M47" s="103">
        <f t="shared" ref="M47:M49" si="17">J47*K47*L47</f>
        <v>400000</v>
      </c>
    </row>
    <row r="48" spans="1:13" hidden="1" x14ac:dyDescent="0.25">
      <c r="A48" s="99"/>
      <c r="B48" s="100" t="s">
        <v>38</v>
      </c>
      <c r="C48" s="101">
        <v>1</v>
      </c>
      <c r="D48" s="101">
        <v>1</v>
      </c>
      <c r="E48" s="102">
        <v>150000</v>
      </c>
      <c r="F48" s="103">
        <f t="shared" si="16"/>
        <v>150000</v>
      </c>
      <c r="H48" s="99"/>
      <c r="I48" s="100" t="s">
        <v>38</v>
      </c>
      <c r="J48" s="101">
        <v>0</v>
      </c>
      <c r="K48" s="101">
        <v>3</v>
      </c>
      <c r="L48" s="102">
        <v>150000</v>
      </c>
      <c r="M48" s="103">
        <f t="shared" si="17"/>
        <v>0</v>
      </c>
    </row>
    <row r="49" spans="1:13" hidden="1" x14ac:dyDescent="0.25">
      <c r="A49" s="99"/>
      <c r="B49" s="100" t="s">
        <v>39</v>
      </c>
      <c r="C49" s="101">
        <v>1</v>
      </c>
      <c r="D49" s="101">
        <v>1</v>
      </c>
      <c r="E49" s="102">
        <v>50000</v>
      </c>
      <c r="F49" s="103">
        <f t="shared" si="16"/>
        <v>50000</v>
      </c>
      <c r="H49" s="99"/>
      <c r="I49" s="100" t="s">
        <v>39</v>
      </c>
      <c r="J49" s="101">
        <v>0</v>
      </c>
      <c r="K49" s="101">
        <v>2</v>
      </c>
      <c r="L49" s="102">
        <v>50000</v>
      </c>
      <c r="M49" s="103">
        <f t="shared" si="17"/>
        <v>0</v>
      </c>
    </row>
    <row r="50" spans="1:13" hidden="1" x14ac:dyDescent="0.25">
      <c r="A50" s="94">
        <f>A46+1</f>
        <v>2</v>
      </c>
      <c r="B50" s="95" t="s">
        <v>40</v>
      </c>
      <c r="C50" s="101"/>
      <c r="D50" s="101"/>
      <c r="E50" s="102"/>
      <c r="F50" s="103"/>
      <c r="H50" s="94">
        <f>H46+1</f>
        <v>2</v>
      </c>
      <c r="I50" s="95" t="s">
        <v>40</v>
      </c>
      <c r="J50" s="101"/>
      <c r="K50" s="101"/>
      <c r="L50" s="102"/>
      <c r="M50" s="103"/>
    </row>
    <row r="51" spans="1:13" hidden="1" x14ac:dyDescent="0.25">
      <c r="A51" s="94"/>
      <c r="B51" s="100" t="s">
        <v>54</v>
      </c>
      <c r="C51" s="101">
        <v>0</v>
      </c>
      <c r="D51" s="101">
        <v>1</v>
      </c>
      <c r="E51" s="102">
        <v>400000</v>
      </c>
      <c r="F51" s="103">
        <f t="shared" ref="F51:F57" si="18">C51*D51*E51</f>
        <v>0</v>
      </c>
      <c r="H51" s="94"/>
      <c r="I51" s="100" t="s">
        <v>54</v>
      </c>
      <c r="J51" s="101">
        <v>1</v>
      </c>
      <c r="K51" s="101">
        <v>1</v>
      </c>
      <c r="L51" s="102">
        <v>400000</v>
      </c>
      <c r="M51" s="103">
        <f t="shared" ref="M51:M57" si="19">J51*K51*L51</f>
        <v>400000</v>
      </c>
    </row>
    <row r="52" spans="1:13" hidden="1" x14ac:dyDescent="0.25">
      <c r="A52" s="94"/>
      <c r="B52" s="100" t="s">
        <v>58</v>
      </c>
      <c r="C52" s="101">
        <v>0</v>
      </c>
      <c r="D52" s="101">
        <v>2</v>
      </c>
      <c r="E52" s="102">
        <v>386100</v>
      </c>
      <c r="F52" s="103">
        <f t="shared" si="18"/>
        <v>0</v>
      </c>
      <c r="H52" s="94"/>
      <c r="I52" s="100" t="s">
        <v>58</v>
      </c>
      <c r="J52" s="101">
        <v>1</v>
      </c>
      <c r="K52" s="101">
        <v>2</v>
      </c>
      <c r="L52" s="102">
        <v>510200</v>
      </c>
      <c r="M52" s="103">
        <f t="shared" si="19"/>
        <v>1020400</v>
      </c>
    </row>
    <row r="53" spans="1:13" hidden="1" x14ac:dyDescent="0.25">
      <c r="A53" s="94"/>
      <c r="B53" s="100" t="s">
        <v>59</v>
      </c>
      <c r="C53" s="101">
        <v>0</v>
      </c>
      <c r="D53" s="101">
        <v>1</v>
      </c>
      <c r="E53" s="102">
        <v>500000</v>
      </c>
      <c r="F53" s="103">
        <f t="shared" si="18"/>
        <v>0</v>
      </c>
      <c r="H53" s="94"/>
      <c r="I53" s="100" t="s">
        <v>59</v>
      </c>
      <c r="J53" s="101">
        <v>1</v>
      </c>
      <c r="K53" s="101">
        <v>1</v>
      </c>
      <c r="L53" s="102">
        <v>500000</v>
      </c>
      <c r="M53" s="103">
        <f t="shared" si="19"/>
        <v>500000</v>
      </c>
    </row>
    <row r="54" spans="1:13" hidden="1" x14ac:dyDescent="0.25">
      <c r="A54" s="94"/>
      <c r="B54" s="100" t="s">
        <v>55</v>
      </c>
      <c r="C54" s="101">
        <v>0</v>
      </c>
      <c r="D54" s="101">
        <v>1</v>
      </c>
      <c r="E54" s="102">
        <v>500000</v>
      </c>
      <c r="F54" s="103">
        <f t="shared" si="18"/>
        <v>0</v>
      </c>
      <c r="H54" s="94"/>
      <c r="I54" s="100" t="s">
        <v>55</v>
      </c>
      <c r="J54" s="101">
        <v>1</v>
      </c>
      <c r="K54" s="101">
        <v>1</v>
      </c>
      <c r="L54" s="102">
        <v>500000</v>
      </c>
      <c r="M54" s="103">
        <f t="shared" si="19"/>
        <v>500000</v>
      </c>
    </row>
    <row r="55" spans="1:13" hidden="1" x14ac:dyDescent="0.25">
      <c r="A55" s="99"/>
      <c r="B55" s="100" t="s">
        <v>41</v>
      </c>
      <c r="C55" s="101">
        <v>1</v>
      </c>
      <c r="D55" s="101">
        <v>1</v>
      </c>
      <c r="E55" s="102">
        <v>150000</v>
      </c>
      <c r="F55" s="103">
        <f t="shared" si="18"/>
        <v>150000</v>
      </c>
      <c r="H55" s="99"/>
      <c r="I55" s="100" t="s">
        <v>41</v>
      </c>
      <c r="J55" s="101">
        <v>1</v>
      </c>
      <c r="K55" s="101">
        <v>1</v>
      </c>
      <c r="L55" s="102">
        <v>150000</v>
      </c>
      <c r="M55" s="103">
        <f t="shared" si="19"/>
        <v>150000</v>
      </c>
    </row>
    <row r="56" spans="1:13" hidden="1" x14ac:dyDescent="0.25">
      <c r="A56" s="99"/>
      <c r="B56" s="100" t="s">
        <v>43</v>
      </c>
      <c r="C56" s="101">
        <v>1</v>
      </c>
      <c r="D56" s="101">
        <v>1</v>
      </c>
      <c r="E56" s="102">
        <v>100000</v>
      </c>
      <c r="F56" s="103">
        <f t="shared" si="18"/>
        <v>100000</v>
      </c>
      <c r="H56" s="99"/>
      <c r="I56" s="100" t="s">
        <v>43</v>
      </c>
      <c r="J56" s="101">
        <v>1</v>
      </c>
      <c r="K56" s="101">
        <v>1</v>
      </c>
      <c r="L56" s="102">
        <v>50000</v>
      </c>
      <c r="M56" s="103">
        <f t="shared" si="19"/>
        <v>50000</v>
      </c>
    </row>
    <row r="57" spans="1:13" hidden="1" x14ac:dyDescent="0.25">
      <c r="A57" s="105"/>
      <c r="B57" s="100" t="s">
        <v>56</v>
      </c>
      <c r="C57" s="101">
        <v>0</v>
      </c>
      <c r="D57" s="101">
        <v>1</v>
      </c>
      <c r="E57" s="102">
        <v>75000</v>
      </c>
      <c r="F57" s="103">
        <f t="shared" si="18"/>
        <v>0</v>
      </c>
      <c r="H57" s="105"/>
      <c r="I57" s="100" t="s">
        <v>56</v>
      </c>
      <c r="J57" s="101">
        <v>1</v>
      </c>
      <c r="K57" s="101">
        <v>1</v>
      </c>
      <c r="L57" s="102">
        <v>75000</v>
      </c>
      <c r="M57" s="103">
        <f t="shared" si="19"/>
        <v>75000</v>
      </c>
    </row>
    <row r="58" spans="1:13" hidden="1" x14ac:dyDescent="0.25">
      <c r="A58" s="94">
        <v>3</v>
      </c>
      <c r="B58" s="95" t="s">
        <v>47</v>
      </c>
      <c r="C58" s="106"/>
      <c r="D58" s="106"/>
      <c r="E58" s="107"/>
      <c r="F58" s="108"/>
      <c r="H58" s="94">
        <v>3</v>
      </c>
      <c r="I58" s="95" t="s">
        <v>47</v>
      </c>
      <c r="J58" s="106"/>
      <c r="K58" s="106"/>
      <c r="L58" s="107"/>
      <c r="M58" s="108"/>
    </row>
    <row r="59" spans="1:13" hidden="1" x14ac:dyDescent="0.25">
      <c r="A59" s="109"/>
      <c r="B59" s="100" t="s">
        <v>48</v>
      </c>
      <c r="C59" s="101">
        <v>0</v>
      </c>
      <c r="D59" s="101">
        <v>1</v>
      </c>
      <c r="E59" s="102">
        <v>50000</v>
      </c>
      <c r="F59" s="103">
        <f t="shared" ref="F59:F61" si="20">C59*D59*E59</f>
        <v>0</v>
      </c>
      <c r="H59" s="109"/>
      <c r="I59" s="100" t="s">
        <v>48</v>
      </c>
      <c r="J59" s="101">
        <v>0</v>
      </c>
      <c r="K59" s="101">
        <v>1</v>
      </c>
      <c r="L59" s="102">
        <v>50000</v>
      </c>
      <c r="M59" s="103">
        <f t="shared" ref="M59:M61" si="21">J59*K59*L59</f>
        <v>0</v>
      </c>
    </row>
    <row r="60" spans="1:13" hidden="1" x14ac:dyDescent="0.25">
      <c r="A60" s="109"/>
      <c r="B60" s="100" t="s">
        <v>138</v>
      </c>
      <c r="C60" s="101">
        <v>0</v>
      </c>
      <c r="D60" s="101">
        <v>1</v>
      </c>
      <c r="E60" s="102">
        <v>50000</v>
      </c>
      <c r="F60" s="103">
        <f t="shared" si="20"/>
        <v>0</v>
      </c>
      <c r="H60" s="109"/>
      <c r="I60" s="100" t="s">
        <v>138</v>
      </c>
      <c r="J60" s="101">
        <v>0</v>
      </c>
      <c r="K60" s="101">
        <v>1</v>
      </c>
      <c r="L60" s="102">
        <v>25000</v>
      </c>
      <c r="M60" s="103">
        <f t="shared" si="21"/>
        <v>0</v>
      </c>
    </row>
    <row r="61" spans="1:13" hidden="1" x14ac:dyDescent="0.25">
      <c r="A61" s="109"/>
      <c r="B61" s="100" t="s">
        <v>57</v>
      </c>
      <c r="C61" s="101">
        <v>0</v>
      </c>
      <c r="D61" s="101">
        <v>2</v>
      </c>
      <c r="E61" s="102">
        <v>250000</v>
      </c>
      <c r="F61" s="103">
        <f t="shared" si="20"/>
        <v>0</v>
      </c>
      <c r="H61" s="109"/>
      <c r="I61" s="100" t="s">
        <v>57</v>
      </c>
      <c r="J61" s="101">
        <v>1</v>
      </c>
      <c r="K61" s="101">
        <v>2</v>
      </c>
      <c r="L61" s="102">
        <v>250000</v>
      </c>
      <c r="M61" s="103">
        <f t="shared" si="21"/>
        <v>500000</v>
      </c>
    </row>
    <row r="62" spans="1:13" hidden="1" x14ac:dyDescent="0.25">
      <c r="A62" s="110"/>
      <c r="B62" s="111"/>
      <c r="C62" s="112"/>
      <c r="D62" s="112"/>
      <c r="E62" s="113"/>
      <c r="F62" s="114"/>
      <c r="H62" s="110"/>
      <c r="I62" s="111"/>
      <c r="J62" s="112"/>
      <c r="K62" s="112"/>
      <c r="L62" s="113"/>
      <c r="M62" s="114"/>
    </row>
    <row r="63" spans="1:13" hidden="1" x14ac:dyDescent="0.25">
      <c r="A63" s="115"/>
      <c r="B63" s="116" t="s">
        <v>45</v>
      </c>
      <c r="C63" s="117"/>
      <c r="D63" s="117"/>
      <c r="E63" s="118"/>
      <c r="F63" s="119">
        <f>SUM(F47:F61)</f>
        <v>450000</v>
      </c>
      <c r="H63" s="115"/>
      <c r="I63" s="116" t="s">
        <v>45</v>
      </c>
      <c r="J63" s="117"/>
      <c r="K63" s="117"/>
      <c r="L63" s="118"/>
      <c r="M63" s="119">
        <f>SUM(M47:M61)</f>
        <v>3595400</v>
      </c>
    </row>
    <row r="65" spans="1:13" x14ac:dyDescent="0.25">
      <c r="A65" s="86" t="s">
        <v>139</v>
      </c>
      <c r="B65" s="1" t="s">
        <v>140</v>
      </c>
      <c r="F65" s="1">
        <f>SUM(F5:F7)</f>
        <v>290000</v>
      </c>
    </row>
    <row r="66" spans="1:13" x14ac:dyDescent="0.25">
      <c r="A66" s="86" t="s">
        <v>139</v>
      </c>
      <c r="B66" s="1" t="s">
        <v>141</v>
      </c>
      <c r="F66" s="87">
        <f>SUM(F9:F15)</f>
        <v>175000</v>
      </c>
      <c r="M66" s="6"/>
    </row>
    <row r="67" spans="1:13" x14ac:dyDescent="0.25">
      <c r="A67" s="86" t="s">
        <v>139</v>
      </c>
      <c r="B67" s="1" t="s">
        <v>142</v>
      </c>
      <c r="F67" s="87">
        <f>SUM(F17:F19)</f>
        <v>0</v>
      </c>
    </row>
    <row r="68" spans="1:13" x14ac:dyDescent="0.25">
      <c r="F68" s="6">
        <f>SUM(F65:F67)</f>
        <v>465000</v>
      </c>
      <c r="M68" s="6"/>
    </row>
    <row r="69" spans="1:13" x14ac:dyDescent="0.25">
      <c r="F69" s="6">
        <f>F21</f>
        <v>465000</v>
      </c>
    </row>
    <row r="70" spans="1:13" x14ac:dyDescent="0.25">
      <c r="F70" s="1">
        <f>F68-F69</f>
        <v>0</v>
      </c>
    </row>
  </sheetData>
  <mergeCells count="6">
    <mergeCell ref="A2:F2"/>
    <mergeCell ref="A23:F23"/>
    <mergeCell ref="A44:F44"/>
    <mergeCell ref="H2:M2"/>
    <mergeCell ref="H23:M23"/>
    <mergeCell ref="H44:M44"/>
  </mergeCells>
  <pageMargins left="0.28000000000000003" right="0.21" top="0.41" bottom="0.3" header="0.31496062992125984" footer="0.31496062992125984"/>
  <pageSetup paperSize="9" scale="7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showGridLines="0" view="pageBreakPreview" zoomScale="60" zoomScaleNormal="75" workbookViewId="0">
      <selection activeCell="G14" sqref="G14"/>
    </sheetView>
  </sheetViews>
  <sheetFormatPr defaultRowHeight="15" x14ac:dyDescent="0.25"/>
  <cols>
    <col min="1" max="1" width="3.140625" style="76" customWidth="1"/>
    <col min="2" max="2" width="10.5703125" style="85" bestFit="1" customWidth="1"/>
    <col min="3" max="3" width="32" style="76" bestFit="1" customWidth="1"/>
    <col min="4" max="4" width="12.28515625" style="76" bestFit="1" customWidth="1"/>
    <col min="5" max="6" width="9.140625" style="76"/>
    <col min="7" max="7" width="9.28515625" style="76" bestFit="1" customWidth="1"/>
    <col min="8" max="8" width="9.140625" style="76"/>
    <col min="9" max="9" width="10.5703125" style="76" bestFit="1" customWidth="1"/>
    <col min="10" max="16384" width="9.140625" style="76"/>
  </cols>
  <sheetData>
    <row r="2" spans="1:9" s="73" customFormat="1" ht="33.75" customHeight="1" x14ac:dyDescent="0.55000000000000004">
      <c r="B2" s="79" t="s">
        <v>130</v>
      </c>
    </row>
    <row r="3" spans="1:9" s="73" customFormat="1" x14ac:dyDescent="0.25">
      <c r="B3" s="80"/>
      <c r="C3" s="74" t="s">
        <v>2</v>
      </c>
      <c r="D3" s="81" t="s">
        <v>3</v>
      </c>
    </row>
    <row r="4" spans="1:9" x14ac:dyDescent="0.25">
      <c r="B4" s="82">
        <f t="shared" ref="B4:B27" si="0">B3+1</f>
        <v>1</v>
      </c>
      <c r="C4" s="75" t="s">
        <v>25</v>
      </c>
      <c r="D4" s="83">
        <v>587</v>
      </c>
    </row>
    <row r="5" spans="1:9" x14ac:dyDescent="0.25">
      <c r="B5" s="84">
        <f t="shared" si="0"/>
        <v>2</v>
      </c>
      <c r="C5" s="75" t="s">
        <v>25</v>
      </c>
      <c r="D5" s="75">
        <v>260</v>
      </c>
    </row>
    <row r="6" spans="1:9" x14ac:dyDescent="0.25">
      <c r="B6" s="84">
        <f t="shared" si="0"/>
        <v>3</v>
      </c>
      <c r="C6" s="75" t="s">
        <v>25</v>
      </c>
      <c r="D6" s="75">
        <v>245</v>
      </c>
    </row>
    <row r="7" spans="1:9" x14ac:dyDescent="0.25">
      <c r="B7" s="84">
        <f t="shared" si="0"/>
        <v>4</v>
      </c>
      <c r="C7" s="75" t="s">
        <v>25</v>
      </c>
      <c r="D7" s="75">
        <v>234</v>
      </c>
    </row>
    <row r="8" spans="1:9" x14ac:dyDescent="0.25">
      <c r="B8" s="84">
        <f>-A8*(B6-J66)</f>
        <v>0</v>
      </c>
      <c r="C8" s="75" t="s">
        <v>25</v>
      </c>
      <c r="D8" s="75">
        <v>2315</v>
      </c>
    </row>
    <row r="9" spans="1:9" x14ac:dyDescent="0.25">
      <c r="B9" s="84">
        <f>-2800000</f>
        <v>-2800000</v>
      </c>
      <c r="C9" s="75" t="s">
        <v>132</v>
      </c>
      <c r="D9" s="75">
        <v>3987</v>
      </c>
    </row>
    <row r="10" spans="1:9" x14ac:dyDescent="0.25">
      <c r="A10" s="88">
        <v>0</v>
      </c>
      <c r="B10" s="84">
        <f>-A10*(B6-J66)</f>
        <v>0</v>
      </c>
      <c r="C10" s="75" t="s">
        <v>131</v>
      </c>
      <c r="D10" s="75">
        <v>501</v>
      </c>
    </row>
    <row r="11" spans="1:9" x14ac:dyDescent="0.25">
      <c r="A11" s="76">
        <f>B11/B6</f>
        <v>-500000</v>
      </c>
      <c r="B11" s="85">
        <v>-1500000</v>
      </c>
      <c r="C11" s="76" t="s">
        <v>126</v>
      </c>
      <c r="D11" s="75">
        <v>384</v>
      </c>
    </row>
    <row r="12" spans="1:9" x14ac:dyDescent="0.25">
      <c r="B12" s="84">
        <f>B10+1</f>
        <v>1</v>
      </c>
      <c r="C12" s="75" t="s">
        <v>17</v>
      </c>
      <c r="D12" s="75">
        <v>435</v>
      </c>
      <c r="G12" s="76">
        <v>1</v>
      </c>
      <c r="I12" s="76">
        <v>100000</v>
      </c>
    </row>
    <row r="13" spans="1:9" x14ac:dyDescent="0.25">
      <c r="B13" s="84">
        <f>B12+1</f>
        <v>2</v>
      </c>
      <c r="C13" s="75" t="s">
        <v>17</v>
      </c>
      <c r="D13" s="75">
        <v>120</v>
      </c>
      <c r="G13" s="76">
        <v>1</v>
      </c>
    </row>
    <row r="14" spans="1:9" x14ac:dyDescent="0.25">
      <c r="A14" s="76">
        <f>SUM(A7:A13)</f>
        <v>-500000</v>
      </c>
      <c r="B14" s="84">
        <f t="shared" si="0"/>
        <v>3</v>
      </c>
      <c r="C14" s="75" t="s">
        <v>25</v>
      </c>
      <c r="D14" s="75">
        <v>245</v>
      </c>
      <c r="G14" s="76">
        <v>1</v>
      </c>
    </row>
    <row r="15" spans="1:9" x14ac:dyDescent="0.25">
      <c r="B15" s="84">
        <f t="shared" si="0"/>
        <v>4</v>
      </c>
      <c r="C15" s="75" t="s">
        <v>25</v>
      </c>
      <c r="D15" s="75">
        <v>300</v>
      </c>
    </row>
    <row r="16" spans="1:9" x14ac:dyDescent="0.25">
      <c r="B16" s="84">
        <f t="shared" si="0"/>
        <v>5</v>
      </c>
      <c r="C16" s="75" t="s">
        <v>25</v>
      </c>
      <c r="D16" s="75">
        <v>904</v>
      </c>
    </row>
    <row r="17" spans="1:9" x14ac:dyDescent="0.25">
      <c r="B17" s="84">
        <f t="shared" si="0"/>
        <v>6</v>
      </c>
      <c r="C17" s="75" t="s">
        <v>25</v>
      </c>
      <c r="D17" s="75">
        <v>60</v>
      </c>
      <c r="G17" s="76">
        <v>3</v>
      </c>
    </row>
    <row r="18" spans="1:9" x14ac:dyDescent="0.25">
      <c r="B18" s="84">
        <f t="shared" si="0"/>
        <v>7</v>
      </c>
      <c r="C18" s="75" t="s">
        <v>17</v>
      </c>
      <c r="D18" s="75">
        <v>32</v>
      </c>
      <c r="I18" s="76">
        <v>50000</v>
      </c>
    </row>
    <row r="19" spans="1:9" x14ac:dyDescent="0.25">
      <c r="B19" s="84">
        <f t="shared" si="0"/>
        <v>8</v>
      </c>
      <c r="C19" s="75" t="s">
        <v>17</v>
      </c>
      <c r="D19" s="75">
        <v>322</v>
      </c>
    </row>
    <row r="20" spans="1:9" x14ac:dyDescent="0.25">
      <c r="B20" s="84">
        <f t="shared" si="0"/>
        <v>9</v>
      </c>
      <c r="C20" s="75" t="s">
        <v>53</v>
      </c>
      <c r="D20" s="75">
        <v>48590</v>
      </c>
    </row>
    <row r="21" spans="1:9" x14ac:dyDescent="0.25">
      <c r="B21" s="84">
        <f t="shared" si="0"/>
        <v>10</v>
      </c>
      <c r="C21" s="75" t="s">
        <v>53</v>
      </c>
      <c r="D21" s="75">
        <v>50200</v>
      </c>
    </row>
    <row r="22" spans="1:9" x14ac:dyDescent="0.25">
      <c r="B22" s="84">
        <f t="shared" si="0"/>
        <v>11</v>
      </c>
      <c r="C22" s="75" t="s">
        <v>53</v>
      </c>
      <c r="D22" s="75">
        <v>3497</v>
      </c>
    </row>
    <row r="23" spans="1:9" x14ac:dyDescent="0.25">
      <c r="B23" s="84">
        <f t="shared" si="0"/>
        <v>12</v>
      </c>
      <c r="C23" s="75" t="s">
        <v>25</v>
      </c>
      <c r="D23" s="75">
        <v>2145</v>
      </c>
    </row>
    <row r="24" spans="1:9" x14ac:dyDescent="0.25">
      <c r="B24" s="84">
        <f t="shared" si="0"/>
        <v>13</v>
      </c>
      <c r="C24" s="75" t="s">
        <v>53</v>
      </c>
      <c r="D24" s="75">
        <v>1080</v>
      </c>
    </row>
    <row r="25" spans="1:9" x14ac:dyDescent="0.25">
      <c r="B25" s="84">
        <f t="shared" si="0"/>
        <v>14</v>
      </c>
      <c r="C25" s="75" t="s">
        <v>25</v>
      </c>
      <c r="D25" s="75">
        <v>450</v>
      </c>
    </row>
    <row r="26" spans="1:9" x14ac:dyDescent="0.25">
      <c r="B26" s="84">
        <f t="shared" si="0"/>
        <v>15</v>
      </c>
      <c r="C26" s="75" t="s">
        <v>25</v>
      </c>
      <c r="D26" s="75">
        <v>889</v>
      </c>
    </row>
    <row r="27" spans="1:9" x14ac:dyDescent="0.25">
      <c r="B27" s="84">
        <f t="shared" si="0"/>
        <v>16</v>
      </c>
      <c r="C27" s="75" t="s">
        <v>25</v>
      </c>
      <c r="D27" s="89"/>
    </row>
    <row r="28" spans="1:9" x14ac:dyDescent="0.25">
      <c r="A28" s="89"/>
      <c r="B28" s="90"/>
      <c r="C28" s="89"/>
      <c r="D28" s="89"/>
    </row>
    <row r="29" spans="1:9" x14ac:dyDescent="0.25">
      <c r="A29" s="89"/>
      <c r="B29" s="90"/>
      <c r="C29" s="89"/>
      <c r="D29" s="89"/>
    </row>
    <row r="30" spans="1:9" x14ac:dyDescent="0.25">
      <c r="A30" s="89"/>
      <c r="B30" s="90"/>
      <c r="C30" s="89"/>
      <c r="D30" s="89"/>
    </row>
    <row r="31" spans="1:9" x14ac:dyDescent="0.25">
      <c r="A31" s="89"/>
      <c r="B31" s="90"/>
      <c r="C31" s="89"/>
      <c r="D31" s="89"/>
    </row>
    <row r="32" spans="1:9" x14ac:dyDescent="0.25">
      <c r="A32" s="89"/>
      <c r="B32" s="90"/>
      <c r="C32" s="89"/>
      <c r="D32" s="89"/>
    </row>
    <row r="33" spans="1:4" x14ac:dyDescent="0.25">
      <c r="A33" s="89"/>
      <c r="B33" s="90"/>
      <c r="C33" s="89"/>
      <c r="D33" s="89"/>
    </row>
    <row r="34" spans="1:4" x14ac:dyDescent="0.25">
      <c r="A34" s="89"/>
      <c r="B34" s="90"/>
      <c r="C34" s="89"/>
      <c r="D34" s="89"/>
    </row>
    <row r="35" spans="1:4" x14ac:dyDescent="0.25">
      <c r="A35" s="89"/>
      <c r="B35" s="90"/>
      <c r="C35" s="89"/>
      <c r="D35" s="89"/>
    </row>
    <row r="36" spans="1:4" x14ac:dyDescent="0.25">
      <c r="A36" s="89"/>
      <c r="B36" s="90"/>
      <c r="C36" s="89"/>
      <c r="D36" s="89"/>
    </row>
    <row r="37" spans="1:4" x14ac:dyDescent="0.25">
      <c r="A37" s="89"/>
      <c r="B37" s="90"/>
      <c r="C37" s="89"/>
      <c r="D37" s="89"/>
    </row>
    <row r="38" spans="1:4" x14ac:dyDescent="0.25">
      <c r="A38" s="89"/>
      <c r="B38" s="90"/>
      <c r="C38" s="89"/>
      <c r="D38" s="89"/>
    </row>
    <row r="39" spans="1:4" x14ac:dyDescent="0.25">
      <c r="A39" s="89"/>
      <c r="B39" s="90"/>
      <c r="C39" s="89"/>
      <c r="D39" s="89"/>
    </row>
    <row r="40" spans="1:4" x14ac:dyDescent="0.25">
      <c r="A40" s="89"/>
      <c r="B40" s="90"/>
      <c r="C40" s="89"/>
      <c r="D40" s="89"/>
    </row>
    <row r="41" spans="1:4" x14ac:dyDescent="0.25">
      <c r="A41" s="89"/>
      <c r="B41" s="90"/>
      <c r="C41" s="89"/>
      <c r="D41" s="89"/>
    </row>
    <row r="42" spans="1:4" x14ac:dyDescent="0.25">
      <c r="A42" s="89"/>
      <c r="B42" s="90"/>
      <c r="C42" s="89"/>
      <c r="D42" s="89"/>
    </row>
    <row r="43" spans="1:4" x14ac:dyDescent="0.25">
      <c r="A43" s="89"/>
      <c r="B43" s="90"/>
      <c r="C43" s="89"/>
      <c r="D43" s="89"/>
    </row>
    <row r="44" spans="1:4" x14ac:dyDescent="0.25">
      <c r="A44" s="89"/>
      <c r="B44" s="90"/>
      <c r="C44" s="89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Sheet2!#REF!</xm:f>
          </x14:formula1>
          <xm:sqref>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6"/>
  <sheetViews>
    <sheetView showGridLines="0" zoomScale="75" zoomScaleNormal="75" workbookViewId="0">
      <selection activeCell="F20" sqref="F20"/>
    </sheetView>
  </sheetViews>
  <sheetFormatPr defaultRowHeight="15" x14ac:dyDescent="0.25"/>
  <cols>
    <col min="1" max="1" width="3.140625" style="1" customWidth="1"/>
    <col min="2" max="2" width="3.5703125" style="4" bestFit="1" customWidth="1"/>
    <col min="3" max="3" width="32" style="1" bestFit="1" customWidth="1"/>
    <col min="4" max="4" width="12" style="1" bestFit="1" customWidth="1"/>
    <col min="5" max="5" width="15.5703125" style="1" bestFit="1" customWidth="1"/>
    <col min="6" max="6" width="14.85546875" style="1" bestFit="1" customWidth="1"/>
    <col min="7" max="7" width="15.5703125" style="1" bestFit="1" customWidth="1"/>
    <col min="8" max="8" width="22.42578125" style="1" customWidth="1"/>
    <col min="9" max="9" width="21.140625" style="1" customWidth="1"/>
    <col min="10" max="13" width="13.5703125" style="1" customWidth="1"/>
    <col min="14" max="14" width="4" style="1" customWidth="1"/>
    <col min="15" max="15" width="3.140625" style="1" customWidth="1"/>
    <col min="16" max="16" width="3.5703125" style="4" bestFit="1" customWidth="1"/>
    <col min="17" max="17" width="19.42578125" style="1" customWidth="1"/>
    <col min="18" max="18" width="12" style="1" bestFit="1" customWidth="1"/>
    <col min="19" max="19" width="15.5703125" style="1" bestFit="1" customWidth="1"/>
    <col min="20" max="20" width="14.85546875" style="1" bestFit="1" customWidth="1"/>
    <col min="21" max="21" width="22.42578125" style="1" customWidth="1"/>
    <col min="22" max="22" width="15.140625" style="1" customWidth="1"/>
    <col min="23" max="26" width="13.5703125" style="1" customWidth="1"/>
    <col min="27" max="16384" width="9.140625" style="1"/>
  </cols>
  <sheetData>
    <row r="2" spans="2:26" s="6" customFormat="1" ht="33.75" customHeight="1" x14ac:dyDescent="0.55000000000000004">
      <c r="B2" s="25" t="s">
        <v>30</v>
      </c>
      <c r="K2" s="14">
        <v>0.25</v>
      </c>
      <c r="L2" s="14">
        <v>0.1</v>
      </c>
      <c r="M2" s="14"/>
      <c r="P2" s="25" t="s">
        <v>31</v>
      </c>
      <c r="X2" s="14">
        <v>0</v>
      </c>
      <c r="Y2" s="14">
        <v>0.1</v>
      </c>
      <c r="Z2" s="14"/>
    </row>
    <row r="3" spans="2:26" s="6" customFormat="1" x14ac:dyDescent="0.25">
      <c r="B3" s="15"/>
      <c r="C3" s="16" t="s">
        <v>2</v>
      </c>
      <c r="D3" s="17" t="s">
        <v>3</v>
      </c>
      <c r="E3" s="17" t="s">
        <v>4</v>
      </c>
      <c r="F3" s="17" t="s">
        <v>14</v>
      </c>
      <c r="G3" s="17" t="s">
        <v>62</v>
      </c>
      <c r="H3" s="17" t="s">
        <v>20</v>
      </c>
      <c r="I3" s="17" t="s">
        <v>21</v>
      </c>
      <c r="J3" s="17" t="s">
        <v>5</v>
      </c>
      <c r="K3" s="17" t="s">
        <v>18</v>
      </c>
      <c r="L3" s="17" t="s">
        <v>29</v>
      </c>
      <c r="M3" s="17" t="s">
        <v>9</v>
      </c>
      <c r="P3" s="15"/>
      <c r="Q3" s="16" t="s">
        <v>2</v>
      </c>
      <c r="R3" s="17" t="s">
        <v>3</v>
      </c>
      <c r="S3" s="17" t="s">
        <v>4</v>
      </c>
      <c r="T3" s="17" t="s">
        <v>14</v>
      </c>
      <c r="U3" s="17" t="s">
        <v>20</v>
      </c>
      <c r="V3" s="17" t="s">
        <v>21</v>
      </c>
      <c r="W3" s="17" t="s">
        <v>5</v>
      </c>
      <c r="X3" s="17" t="s">
        <v>18</v>
      </c>
      <c r="Y3" s="17" t="s">
        <v>29</v>
      </c>
      <c r="Z3" s="17" t="s">
        <v>9</v>
      </c>
    </row>
    <row r="4" spans="2:26" x14ac:dyDescent="0.25">
      <c r="B4" s="18">
        <v>1</v>
      </c>
      <c r="C4" s="67" t="s">
        <v>61</v>
      </c>
      <c r="D4" s="19">
        <v>0</v>
      </c>
      <c r="E4" s="19">
        <v>0</v>
      </c>
      <c r="F4" s="19">
        <v>0</v>
      </c>
      <c r="G4" s="19">
        <v>32</v>
      </c>
      <c r="H4" s="21" t="s">
        <v>63</v>
      </c>
      <c r="I4" s="19" t="s">
        <v>64</v>
      </c>
      <c r="J4" s="19">
        <f>32*500000</f>
        <v>16000000</v>
      </c>
      <c r="K4" s="19">
        <f>J4*(1-$K$2)</f>
        <v>12000000</v>
      </c>
      <c r="L4" s="19">
        <f>K4*L$2</f>
        <v>1200000</v>
      </c>
      <c r="M4" s="19">
        <f>K4+L4</f>
        <v>13200000</v>
      </c>
      <c r="P4" s="18">
        <v>1</v>
      </c>
      <c r="Q4" s="19" t="s">
        <v>17</v>
      </c>
      <c r="R4" s="19"/>
      <c r="S4" s="19"/>
      <c r="T4" s="19"/>
      <c r="U4" s="19" t="s">
        <v>15</v>
      </c>
      <c r="V4" s="19" t="s">
        <v>22</v>
      </c>
      <c r="W4" s="19">
        <v>4000000</v>
      </c>
      <c r="X4" s="19">
        <f>W4*(1-$X$2)</f>
        <v>4000000</v>
      </c>
      <c r="Y4" s="19">
        <f>X4*Y$2</f>
        <v>400000</v>
      </c>
      <c r="Z4" s="19">
        <f>X4+Y4</f>
        <v>4400000</v>
      </c>
    </row>
    <row r="5" spans="2:26" x14ac:dyDescent="0.25">
      <c r="B5" s="20">
        <f>B4+1</f>
        <v>2</v>
      </c>
      <c r="C5" s="67" t="s">
        <v>65</v>
      </c>
      <c r="D5" s="21">
        <v>0</v>
      </c>
      <c r="E5" s="21">
        <v>0</v>
      </c>
      <c r="F5" s="21">
        <v>0</v>
      </c>
      <c r="G5" s="21">
        <v>1</v>
      </c>
      <c r="H5" s="21" t="s">
        <v>63</v>
      </c>
      <c r="I5" s="21" t="s">
        <v>64</v>
      </c>
      <c r="J5" s="21">
        <f>15000000</f>
        <v>15000000</v>
      </c>
      <c r="K5" s="21">
        <f>J5*(1-$K$2)</f>
        <v>11250000</v>
      </c>
      <c r="L5" s="21">
        <f t="shared" ref="L5:L27" si="0">K5*L$2</f>
        <v>1125000</v>
      </c>
      <c r="M5" s="21">
        <f t="shared" ref="M5:M27" si="1">K5+L5</f>
        <v>12375000</v>
      </c>
      <c r="P5" s="20">
        <f>P4+1</f>
        <v>2</v>
      </c>
      <c r="Q5" s="21" t="s">
        <v>25</v>
      </c>
      <c r="R5" s="21">
        <v>75</v>
      </c>
      <c r="S5" s="21">
        <v>105</v>
      </c>
      <c r="T5" s="21"/>
      <c r="U5" s="21" t="s">
        <v>28</v>
      </c>
      <c r="V5" s="21" t="s">
        <v>24</v>
      </c>
      <c r="W5" s="21">
        <v>4000000</v>
      </c>
      <c r="X5" s="21">
        <f>W5*(1-$X$2)</f>
        <v>4000000</v>
      </c>
      <c r="Y5" s="21">
        <f>X5*Y$2</f>
        <v>400000</v>
      </c>
      <c r="Z5" s="21">
        <f t="shared" ref="Z5" si="2">X5+Y5</f>
        <v>4400000</v>
      </c>
    </row>
    <row r="6" spans="2:26" x14ac:dyDescent="0.25">
      <c r="B6" s="20">
        <f t="shared" ref="B6:B58" si="3">B5+1</f>
        <v>3</v>
      </c>
      <c r="C6" s="67" t="s">
        <v>67</v>
      </c>
      <c r="D6" s="21">
        <v>0</v>
      </c>
      <c r="E6" s="21">
        <v>0</v>
      </c>
      <c r="F6" s="21">
        <v>0</v>
      </c>
      <c r="G6" s="21">
        <v>1</v>
      </c>
      <c r="H6" s="21" t="s">
        <v>66</v>
      </c>
      <c r="I6" s="21" t="s">
        <v>64</v>
      </c>
      <c r="J6" s="21">
        <v>2500000</v>
      </c>
      <c r="K6" s="21">
        <f>J6*(1-$K$2)</f>
        <v>1875000</v>
      </c>
      <c r="L6" s="21">
        <f t="shared" si="0"/>
        <v>187500</v>
      </c>
      <c r="M6" s="21">
        <f t="shared" si="1"/>
        <v>2062500</v>
      </c>
      <c r="P6" s="20">
        <f t="shared" ref="P6:P28" si="4">P5+1</f>
        <v>3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26" x14ac:dyDescent="0.25">
      <c r="B7" s="20">
        <f t="shared" si="3"/>
        <v>4</v>
      </c>
      <c r="C7" s="67" t="s">
        <v>53</v>
      </c>
      <c r="D7" s="21">
        <v>16559</v>
      </c>
      <c r="E7" s="21">
        <v>0</v>
      </c>
      <c r="F7" s="21">
        <v>0</v>
      </c>
      <c r="G7" s="21">
        <v>0</v>
      </c>
      <c r="H7" s="21" t="s">
        <v>68</v>
      </c>
      <c r="I7" s="21" t="s">
        <v>64</v>
      </c>
      <c r="J7" s="21">
        <v>20000000</v>
      </c>
      <c r="K7" s="21">
        <f t="shared" ref="K7:K27" si="5">J7*(1-$K$2)</f>
        <v>15000000</v>
      </c>
      <c r="L7" s="21">
        <f t="shared" si="0"/>
        <v>1500000</v>
      </c>
      <c r="M7" s="21">
        <f t="shared" si="1"/>
        <v>16500000</v>
      </c>
      <c r="P7" s="20">
        <f t="shared" si="4"/>
        <v>4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2:26" x14ac:dyDescent="0.25">
      <c r="B8" s="20">
        <f t="shared" si="3"/>
        <v>5</v>
      </c>
      <c r="C8" s="67" t="s">
        <v>67</v>
      </c>
      <c r="D8" s="21">
        <v>0</v>
      </c>
      <c r="E8" s="21">
        <v>0</v>
      </c>
      <c r="F8" s="21">
        <v>0</v>
      </c>
      <c r="G8" s="21">
        <v>1</v>
      </c>
      <c r="H8" s="21" t="s">
        <v>69</v>
      </c>
      <c r="I8" s="21" t="s">
        <v>64</v>
      </c>
      <c r="J8" s="21">
        <v>2500000</v>
      </c>
      <c r="K8" s="21">
        <f t="shared" si="5"/>
        <v>1875000</v>
      </c>
      <c r="L8" s="21">
        <f t="shared" si="0"/>
        <v>187500</v>
      </c>
      <c r="M8" s="21">
        <f t="shared" si="1"/>
        <v>2062500</v>
      </c>
      <c r="P8" s="20">
        <f t="shared" si="4"/>
        <v>5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2:26" x14ac:dyDescent="0.25">
      <c r="B9" s="20">
        <f t="shared" si="3"/>
        <v>6</v>
      </c>
      <c r="C9" s="67" t="s">
        <v>75</v>
      </c>
      <c r="D9" s="21">
        <v>3332</v>
      </c>
      <c r="E9" s="21">
        <v>0</v>
      </c>
      <c r="F9" s="21">
        <v>0</v>
      </c>
      <c r="G9" s="21">
        <v>0</v>
      </c>
      <c r="H9" s="21" t="s">
        <v>69</v>
      </c>
      <c r="I9" s="21" t="s">
        <v>64</v>
      </c>
      <c r="J9" s="21">
        <v>25000000</v>
      </c>
      <c r="K9" s="21">
        <f t="shared" ref="K9" si="6">J9*(1-$K$2)</f>
        <v>18750000</v>
      </c>
      <c r="L9" s="21">
        <f t="shared" ref="L9" si="7">K9*L$2</f>
        <v>1875000</v>
      </c>
      <c r="M9" s="21">
        <f t="shared" ref="M9" si="8">K9+L9</f>
        <v>20625000</v>
      </c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2:26" x14ac:dyDescent="0.25">
      <c r="B10" s="20">
        <f t="shared" si="3"/>
        <v>7</v>
      </c>
      <c r="C10" s="67" t="s">
        <v>25</v>
      </c>
      <c r="D10" s="21">
        <v>642</v>
      </c>
      <c r="E10" s="21">
        <v>831</v>
      </c>
      <c r="F10" s="21">
        <v>0</v>
      </c>
      <c r="G10" s="21">
        <v>0</v>
      </c>
      <c r="H10" s="21" t="s">
        <v>28</v>
      </c>
      <c r="I10" s="21" t="s">
        <v>24</v>
      </c>
      <c r="J10" s="21">
        <v>3000000</v>
      </c>
      <c r="K10" s="21">
        <f t="shared" si="5"/>
        <v>2250000</v>
      </c>
      <c r="L10" s="21">
        <f t="shared" si="0"/>
        <v>225000</v>
      </c>
      <c r="M10" s="21">
        <f t="shared" si="1"/>
        <v>2475000</v>
      </c>
      <c r="P10" s="20">
        <f>P8+1</f>
        <v>6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 x14ac:dyDescent="0.25">
      <c r="B11" s="20">
        <f t="shared" si="3"/>
        <v>8</v>
      </c>
      <c r="C11" s="67" t="s">
        <v>70</v>
      </c>
      <c r="D11" s="21">
        <v>21000</v>
      </c>
      <c r="E11" s="21">
        <v>8111</v>
      </c>
      <c r="F11" s="21">
        <v>0</v>
      </c>
      <c r="G11" s="21">
        <v>316</v>
      </c>
      <c r="H11" s="21" t="s">
        <v>28</v>
      </c>
      <c r="I11" s="21" t="s">
        <v>24</v>
      </c>
      <c r="J11" s="21">
        <v>35000000</v>
      </c>
      <c r="K11" s="21">
        <f t="shared" si="5"/>
        <v>26250000</v>
      </c>
      <c r="L11" s="21">
        <f t="shared" si="0"/>
        <v>2625000</v>
      </c>
      <c r="M11" s="21">
        <f t="shared" si="1"/>
        <v>28875000</v>
      </c>
      <c r="P11" s="20">
        <f t="shared" si="4"/>
        <v>7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26" x14ac:dyDescent="0.25">
      <c r="B12" s="20">
        <f t="shared" si="3"/>
        <v>9</v>
      </c>
      <c r="C12" s="67" t="s">
        <v>53</v>
      </c>
      <c r="D12" s="21">
        <v>4653</v>
      </c>
      <c r="E12" s="21">
        <v>0</v>
      </c>
      <c r="F12" s="21">
        <v>0</v>
      </c>
      <c r="G12" s="21">
        <v>0</v>
      </c>
      <c r="H12" s="21" t="s">
        <v>71</v>
      </c>
      <c r="I12" s="21" t="s">
        <v>24</v>
      </c>
      <c r="J12" s="21">
        <v>6000000</v>
      </c>
      <c r="K12" s="21">
        <f t="shared" si="5"/>
        <v>4500000</v>
      </c>
      <c r="L12" s="21">
        <f t="shared" si="0"/>
        <v>450000</v>
      </c>
      <c r="M12" s="21">
        <f t="shared" si="1"/>
        <v>4950000</v>
      </c>
      <c r="P12" s="20">
        <f t="shared" si="4"/>
        <v>8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6" x14ac:dyDescent="0.25">
      <c r="B13" s="20">
        <f t="shared" si="3"/>
        <v>10</v>
      </c>
      <c r="C13" s="67" t="s">
        <v>72</v>
      </c>
      <c r="D13" s="21">
        <v>4913</v>
      </c>
      <c r="E13" s="21">
        <v>59318</v>
      </c>
      <c r="F13" s="21">
        <v>0</v>
      </c>
      <c r="G13" s="21">
        <f>364+69</f>
        <v>433</v>
      </c>
      <c r="H13" s="21" t="s">
        <v>71</v>
      </c>
      <c r="I13" s="21" t="s">
        <v>24</v>
      </c>
      <c r="J13" s="21">
        <v>25000000</v>
      </c>
      <c r="K13" s="21">
        <f t="shared" si="5"/>
        <v>18750000</v>
      </c>
      <c r="L13" s="21">
        <f t="shared" si="0"/>
        <v>1875000</v>
      </c>
      <c r="M13" s="21">
        <f t="shared" si="1"/>
        <v>20625000</v>
      </c>
      <c r="P13" s="20">
        <f t="shared" si="4"/>
        <v>9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26" x14ac:dyDescent="0.25">
      <c r="B14" s="20">
        <f t="shared" si="3"/>
        <v>11</v>
      </c>
      <c r="C14" s="67" t="s">
        <v>53</v>
      </c>
      <c r="D14" s="21">
        <v>228369</v>
      </c>
      <c r="E14" s="21">
        <v>0</v>
      </c>
      <c r="F14" s="21">
        <v>0</v>
      </c>
      <c r="G14" s="21">
        <v>0</v>
      </c>
      <c r="H14" s="21" t="s">
        <v>71</v>
      </c>
      <c r="I14" s="21" t="s">
        <v>24</v>
      </c>
      <c r="J14" s="21">
        <v>25000000</v>
      </c>
      <c r="K14" s="21">
        <f t="shared" ref="K14" si="9">J14*(1-$K$2)</f>
        <v>18750000</v>
      </c>
      <c r="L14" s="21">
        <f t="shared" ref="L14" si="10">K14*L$2</f>
        <v>1875000</v>
      </c>
      <c r="M14" s="21">
        <f t="shared" ref="M14" si="11">K14+L14</f>
        <v>20625000</v>
      </c>
      <c r="P14" s="20">
        <f t="shared" si="4"/>
        <v>10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2:26" x14ac:dyDescent="0.25">
      <c r="B15" s="20">
        <f t="shared" si="3"/>
        <v>12</v>
      </c>
      <c r="C15" s="67" t="s">
        <v>76</v>
      </c>
      <c r="D15" s="21">
        <v>7174</v>
      </c>
      <c r="E15" s="21">
        <v>0</v>
      </c>
      <c r="F15" s="21">
        <v>0</v>
      </c>
      <c r="G15" s="21">
        <v>0</v>
      </c>
      <c r="H15" s="21" t="s">
        <v>71</v>
      </c>
      <c r="I15" s="21" t="s">
        <v>24</v>
      </c>
      <c r="J15" s="21">
        <v>6000000</v>
      </c>
      <c r="K15" s="21">
        <f t="shared" ref="K15" si="12">J15*(1-$K$2)</f>
        <v>4500000</v>
      </c>
      <c r="L15" s="21">
        <f t="shared" ref="L15" si="13">K15*L$2</f>
        <v>450000</v>
      </c>
      <c r="M15" s="21">
        <f t="shared" ref="M15" si="14">K15+L15</f>
        <v>4950000</v>
      </c>
      <c r="P15" s="20">
        <f t="shared" si="4"/>
        <v>11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x14ac:dyDescent="0.25">
      <c r="B16" s="20">
        <f t="shared" si="3"/>
        <v>13</v>
      </c>
      <c r="C16" s="67" t="s">
        <v>76</v>
      </c>
      <c r="D16" s="21">
        <v>4249</v>
      </c>
      <c r="E16" s="21">
        <v>0</v>
      </c>
      <c r="F16" s="21">
        <v>0</v>
      </c>
      <c r="G16" s="21">
        <v>0</v>
      </c>
      <c r="H16" s="21" t="s">
        <v>71</v>
      </c>
      <c r="I16" s="21" t="s">
        <v>24</v>
      </c>
      <c r="J16" s="21">
        <v>6000000</v>
      </c>
      <c r="K16" s="21">
        <f t="shared" ref="K16" si="15">J16*(1-$K$2)</f>
        <v>4500000</v>
      </c>
      <c r="L16" s="21">
        <f t="shared" ref="L16" si="16">K16*L$2</f>
        <v>450000</v>
      </c>
      <c r="M16" s="21">
        <f t="shared" ref="M16" si="17">K16+L16</f>
        <v>4950000</v>
      </c>
      <c r="P16" s="20">
        <f t="shared" si="4"/>
        <v>12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x14ac:dyDescent="0.25">
      <c r="B17" s="20">
        <f t="shared" si="3"/>
        <v>14</v>
      </c>
      <c r="C17" s="67" t="s">
        <v>17</v>
      </c>
      <c r="D17" s="21">
        <v>0</v>
      </c>
      <c r="E17" s="21">
        <v>0</v>
      </c>
      <c r="F17" s="21">
        <v>0</v>
      </c>
      <c r="G17" s="21">
        <v>7</v>
      </c>
      <c r="H17" s="21" t="s">
        <v>73</v>
      </c>
      <c r="I17" s="21" t="s">
        <v>22</v>
      </c>
      <c r="J17" s="21">
        <f>7*1500000</f>
        <v>10500000</v>
      </c>
      <c r="K17" s="21">
        <f t="shared" si="5"/>
        <v>7875000</v>
      </c>
      <c r="L17" s="21">
        <f t="shared" si="0"/>
        <v>787500</v>
      </c>
      <c r="M17" s="21">
        <f t="shared" si="1"/>
        <v>8662500</v>
      </c>
      <c r="P17" s="20">
        <f>P14+1</f>
        <v>11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x14ac:dyDescent="0.25">
      <c r="B18" s="20">
        <f t="shared" si="3"/>
        <v>15</v>
      </c>
      <c r="C18" s="67" t="s">
        <v>23</v>
      </c>
      <c r="D18" s="21">
        <v>0</v>
      </c>
      <c r="E18" s="21">
        <v>0</v>
      </c>
      <c r="F18" s="21">
        <v>0</v>
      </c>
      <c r="G18" s="21">
        <v>43</v>
      </c>
      <c r="H18" s="21" t="s">
        <v>73</v>
      </c>
      <c r="I18" s="21" t="s">
        <v>22</v>
      </c>
      <c r="J18" s="21">
        <f>43*500000</f>
        <v>21500000</v>
      </c>
      <c r="K18" s="21">
        <f t="shared" si="5"/>
        <v>16125000</v>
      </c>
      <c r="L18" s="21">
        <f t="shared" si="0"/>
        <v>1612500</v>
      </c>
      <c r="M18" s="21">
        <f t="shared" si="1"/>
        <v>17737500</v>
      </c>
      <c r="P18" s="20">
        <f t="shared" si="4"/>
        <v>12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x14ac:dyDescent="0.25">
      <c r="B19" s="20">
        <f t="shared" si="3"/>
        <v>16</v>
      </c>
      <c r="C19" s="67" t="s">
        <v>53</v>
      </c>
      <c r="D19" s="21">
        <v>1308504</v>
      </c>
      <c r="E19" s="21">
        <v>0</v>
      </c>
      <c r="F19" s="21">
        <v>0</v>
      </c>
      <c r="G19" s="21">
        <v>0</v>
      </c>
      <c r="H19" s="21" t="s">
        <v>87</v>
      </c>
      <c r="I19" s="21" t="s">
        <v>24</v>
      </c>
      <c r="J19" s="21">
        <f>45000000</f>
        <v>45000000</v>
      </c>
      <c r="K19" s="21">
        <f t="shared" si="5"/>
        <v>33750000</v>
      </c>
      <c r="L19" s="21">
        <f t="shared" si="0"/>
        <v>3375000</v>
      </c>
      <c r="M19" s="21">
        <f t="shared" si="1"/>
        <v>37125000</v>
      </c>
      <c r="P19" s="20">
        <f t="shared" si="4"/>
        <v>13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 x14ac:dyDescent="0.25">
      <c r="B20" s="20">
        <f t="shared" si="3"/>
        <v>17</v>
      </c>
      <c r="C20" s="67" t="s">
        <v>74</v>
      </c>
      <c r="D20" s="21">
        <v>294269</v>
      </c>
      <c r="E20" s="21">
        <f>5635+18475</f>
        <v>24110</v>
      </c>
      <c r="F20" s="21">
        <v>0</v>
      </c>
      <c r="G20" s="21">
        <v>144</v>
      </c>
      <c r="H20" s="21" t="s">
        <v>15</v>
      </c>
      <c r="I20" s="21" t="s">
        <v>24</v>
      </c>
      <c r="J20" s="21">
        <v>40000000</v>
      </c>
      <c r="K20" s="21">
        <f t="shared" si="5"/>
        <v>30000000</v>
      </c>
      <c r="L20" s="21">
        <f t="shared" si="0"/>
        <v>3000000</v>
      </c>
      <c r="M20" s="21">
        <f t="shared" si="1"/>
        <v>33000000</v>
      </c>
      <c r="P20" s="20">
        <f t="shared" si="4"/>
        <v>14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x14ac:dyDescent="0.25">
      <c r="B21" s="20">
        <f t="shared" si="3"/>
        <v>18</v>
      </c>
      <c r="C21" s="67" t="s">
        <v>72</v>
      </c>
      <c r="D21" s="21">
        <v>25855</v>
      </c>
      <c r="E21" s="21">
        <f>25946+3600+55</f>
        <v>29601</v>
      </c>
      <c r="F21" s="21">
        <v>0</v>
      </c>
      <c r="G21" s="21">
        <f>1120+42+43</f>
        <v>1205</v>
      </c>
      <c r="H21" s="21" t="s">
        <v>15</v>
      </c>
      <c r="I21" s="21" t="s">
        <v>24</v>
      </c>
      <c r="J21" s="21">
        <v>20000000</v>
      </c>
      <c r="K21" s="21">
        <f t="shared" si="5"/>
        <v>15000000</v>
      </c>
      <c r="L21" s="21">
        <f t="shared" si="0"/>
        <v>1500000</v>
      </c>
      <c r="M21" s="21">
        <f t="shared" si="1"/>
        <v>16500000</v>
      </c>
      <c r="P21" s="20">
        <f t="shared" si="4"/>
        <v>15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x14ac:dyDescent="0.25">
      <c r="B22" s="20">
        <f t="shared" si="3"/>
        <v>19</v>
      </c>
      <c r="C22" s="67" t="s">
        <v>53</v>
      </c>
      <c r="D22" s="21">
        <v>46009</v>
      </c>
      <c r="E22" s="21">
        <v>0</v>
      </c>
      <c r="F22" s="21">
        <v>0</v>
      </c>
      <c r="G22" s="21">
        <v>0</v>
      </c>
      <c r="H22" s="21" t="s">
        <v>15</v>
      </c>
      <c r="I22" s="21" t="s">
        <v>24</v>
      </c>
      <c r="J22" s="21">
        <v>25000000</v>
      </c>
      <c r="K22" s="21">
        <f t="shared" si="5"/>
        <v>18750000</v>
      </c>
      <c r="L22" s="21">
        <f t="shared" si="0"/>
        <v>1875000</v>
      </c>
      <c r="M22" s="21">
        <f t="shared" si="1"/>
        <v>20625000</v>
      </c>
      <c r="P22" s="20">
        <f t="shared" si="4"/>
        <v>16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x14ac:dyDescent="0.25">
      <c r="B23" s="20">
        <f t="shared" si="3"/>
        <v>20</v>
      </c>
      <c r="C23" s="68" t="s">
        <v>75</v>
      </c>
      <c r="D23" s="21">
        <v>3552</v>
      </c>
      <c r="E23" s="21">
        <v>12636</v>
      </c>
      <c r="F23" s="21">
        <v>0</v>
      </c>
      <c r="G23" s="21">
        <v>0</v>
      </c>
      <c r="H23" s="21" t="s">
        <v>77</v>
      </c>
      <c r="I23" s="21" t="s">
        <v>24</v>
      </c>
      <c r="J23" s="21">
        <v>30000000</v>
      </c>
      <c r="K23" s="21">
        <f t="shared" si="5"/>
        <v>22500000</v>
      </c>
      <c r="L23" s="21">
        <f t="shared" si="0"/>
        <v>2250000</v>
      </c>
      <c r="M23" s="21">
        <f t="shared" si="1"/>
        <v>24750000</v>
      </c>
      <c r="P23" s="20">
        <f t="shared" si="4"/>
        <v>17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2:26" x14ac:dyDescent="0.25">
      <c r="B24" s="20">
        <f t="shared" si="3"/>
        <v>21</v>
      </c>
      <c r="C24" s="68" t="s">
        <v>72</v>
      </c>
      <c r="D24" s="21">
        <v>12790</v>
      </c>
      <c r="E24" s="21">
        <f>61785+2772</f>
        <v>64557</v>
      </c>
      <c r="F24" s="21">
        <v>0</v>
      </c>
      <c r="G24" s="21">
        <v>0</v>
      </c>
      <c r="H24" s="21" t="s">
        <v>77</v>
      </c>
      <c r="I24" s="21" t="s">
        <v>24</v>
      </c>
      <c r="J24" s="21">
        <v>15000000</v>
      </c>
      <c r="K24" s="21">
        <f t="shared" si="5"/>
        <v>11250000</v>
      </c>
      <c r="L24" s="21">
        <f t="shared" si="0"/>
        <v>1125000</v>
      </c>
      <c r="M24" s="21">
        <f t="shared" si="1"/>
        <v>12375000</v>
      </c>
      <c r="P24" s="20">
        <f t="shared" si="4"/>
        <v>18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2:26" x14ac:dyDescent="0.25">
      <c r="B25" s="20">
        <f t="shared" si="3"/>
        <v>22</v>
      </c>
      <c r="C25" s="68" t="s">
        <v>25</v>
      </c>
      <c r="D25" s="21">
        <v>2435</v>
      </c>
      <c r="E25" s="21">
        <v>0</v>
      </c>
      <c r="F25" s="21">
        <v>0</v>
      </c>
      <c r="G25" s="21">
        <v>0</v>
      </c>
      <c r="H25" s="21" t="s">
        <v>77</v>
      </c>
      <c r="I25" s="21" t="s">
        <v>24</v>
      </c>
      <c r="J25" s="21">
        <v>5000000</v>
      </c>
      <c r="K25" s="21">
        <f t="shared" si="5"/>
        <v>3750000</v>
      </c>
      <c r="L25" s="21">
        <f t="shared" si="0"/>
        <v>375000</v>
      </c>
      <c r="M25" s="21">
        <f t="shared" si="1"/>
        <v>4125000</v>
      </c>
      <c r="P25" s="20">
        <f t="shared" si="4"/>
        <v>19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26" x14ac:dyDescent="0.25">
      <c r="B26" s="20">
        <f t="shared" si="3"/>
        <v>23</v>
      </c>
      <c r="C26" s="68" t="s">
        <v>53</v>
      </c>
      <c r="D26" s="21">
        <v>135000</v>
      </c>
      <c r="E26" s="21">
        <v>0</v>
      </c>
      <c r="F26" s="21">
        <v>0</v>
      </c>
      <c r="G26" s="21">
        <v>0</v>
      </c>
      <c r="H26" s="21" t="s">
        <v>78</v>
      </c>
      <c r="I26" s="21" t="s">
        <v>79</v>
      </c>
      <c r="J26" s="21">
        <v>15000000</v>
      </c>
      <c r="K26" s="21">
        <f t="shared" si="5"/>
        <v>11250000</v>
      </c>
      <c r="L26" s="21">
        <f t="shared" si="0"/>
        <v>1125000</v>
      </c>
      <c r="M26" s="21">
        <f t="shared" si="1"/>
        <v>12375000</v>
      </c>
      <c r="P26" s="20">
        <f t="shared" si="4"/>
        <v>20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x14ac:dyDescent="0.25">
      <c r="B27" s="20">
        <f t="shared" si="3"/>
        <v>24</v>
      </c>
      <c r="C27" s="68" t="s">
        <v>80</v>
      </c>
      <c r="D27" s="21">
        <v>161998</v>
      </c>
      <c r="E27" s="21">
        <v>0</v>
      </c>
      <c r="F27" s="21">
        <v>0</v>
      </c>
      <c r="G27" s="21">
        <f>4+31+9</f>
        <v>44</v>
      </c>
      <c r="H27" s="21" t="s">
        <v>78</v>
      </c>
      <c r="I27" s="21" t="s">
        <v>79</v>
      </c>
      <c r="J27" s="21">
        <v>25000000</v>
      </c>
      <c r="K27" s="21">
        <f t="shared" si="5"/>
        <v>18750000</v>
      </c>
      <c r="L27" s="21">
        <f t="shared" si="0"/>
        <v>1875000</v>
      </c>
      <c r="M27" s="21">
        <f t="shared" si="1"/>
        <v>20625000</v>
      </c>
      <c r="P27" s="20">
        <f t="shared" si="4"/>
        <v>21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2:26" x14ac:dyDescent="0.25">
      <c r="B28" s="20">
        <f t="shared" si="3"/>
        <v>25</v>
      </c>
      <c r="C28" s="68" t="s">
        <v>67</v>
      </c>
      <c r="D28" s="21">
        <v>0</v>
      </c>
      <c r="E28" s="21">
        <v>0</v>
      </c>
      <c r="F28" s="21">
        <v>0</v>
      </c>
      <c r="G28" s="21">
        <v>625</v>
      </c>
      <c r="H28" s="21" t="s">
        <v>78</v>
      </c>
      <c r="I28" s="21" t="s">
        <v>79</v>
      </c>
      <c r="J28" s="21">
        <v>60000000</v>
      </c>
      <c r="K28" s="21">
        <f t="shared" ref="K28:K58" si="18">J28*(1-$K$2)</f>
        <v>45000000</v>
      </c>
      <c r="L28" s="21">
        <f t="shared" ref="L28:L58" si="19">K28*L$2</f>
        <v>4500000</v>
      </c>
      <c r="M28" s="21">
        <f t="shared" ref="M28:M58" si="20">K28+L28</f>
        <v>49500000</v>
      </c>
      <c r="P28" s="20">
        <f t="shared" si="4"/>
        <v>22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2:26" x14ac:dyDescent="0.25">
      <c r="B29" s="20">
        <f t="shared" si="3"/>
        <v>26</v>
      </c>
      <c r="C29" s="68" t="s">
        <v>72</v>
      </c>
      <c r="D29" s="21">
        <v>6751</v>
      </c>
      <c r="E29" s="21">
        <v>0</v>
      </c>
      <c r="F29" s="21">
        <v>0</v>
      </c>
      <c r="G29" s="21">
        <v>0</v>
      </c>
      <c r="H29" s="21" t="s">
        <v>78</v>
      </c>
      <c r="I29" s="21" t="s">
        <v>79</v>
      </c>
      <c r="J29" s="21">
        <v>15000000</v>
      </c>
      <c r="K29" s="21">
        <f t="shared" si="18"/>
        <v>11250000</v>
      </c>
      <c r="L29" s="21">
        <f t="shared" si="19"/>
        <v>1125000</v>
      </c>
      <c r="M29" s="21">
        <f t="shared" si="20"/>
        <v>12375000</v>
      </c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2:26" x14ac:dyDescent="0.25">
      <c r="B30" s="20">
        <f t="shared" si="3"/>
        <v>27</v>
      </c>
      <c r="C30" s="68" t="s">
        <v>70</v>
      </c>
      <c r="D30" s="21">
        <v>35515</v>
      </c>
      <c r="E30" s="21">
        <v>91132</v>
      </c>
      <c r="F30" s="21">
        <v>0</v>
      </c>
      <c r="G30" s="21">
        <v>0</v>
      </c>
      <c r="H30" s="21" t="s">
        <v>81</v>
      </c>
      <c r="I30" s="21" t="s">
        <v>82</v>
      </c>
      <c r="J30" s="21">
        <v>30000000</v>
      </c>
      <c r="K30" s="21">
        <f t="shared" si="18"/>
        <v>22500000</v>
      </c>
      <c r="L30" s="21">
        <f t="shared" si="19"/>
        <v>2250000</v>
      </c>
      <c r="M30" s="21">
        <f t="shared" si="20"/>
        <v>24750000</v>
      </c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 x14ac:dyDescent="0.25">
      <c r="B31" s="20">
        <f t="shared" si="3"/>
        <v>28</v>
      </c>
      <c r="C31" s="68" t="s">
        <v>53</v>
      </c>
      <c r="D31" s="21">
        <v>4495</v>
      </c>
      <c r="E31" s="21">
        <v>0</v>
      </c>
      <c r="F31" s="21">
        <v>0</v>
      </c>
      <c r="G31" s="21">
        <v>0</v>
      </c>
      <c r="H31" s="21" t="s">
        <v>81</v>
      </c>
      <c r="I31" s="21" t="s">
        <v>82</v>
      </c>
      <c r="J31" s="21">
        <v>5000000</v>
      </c>
      <c r="K31" s="21">
        <f t="shared" si="18"/>
        <v>3750000</v>
      </c>
      <c r="L31" s="21">
        <f t="shared" si="19"/>
        <v>375000</v>
      </c>
      <c r="M31" s="21">
        <f t="shared" si="20"/>
        <v>4125000</v>
      </c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2:26" x14ac:dyDescent="0.25">
      <c r="B32" s="20">
        <f t="shared" si="3"/>
        <v>29</v>
      </c>
      <c r="C32" s="68" t="s">
        <v>70</v>
      </c>
      <c r="D32" s="21">
        <v>41474</v>
      </c>
      <c r="E32" s="21">
        <v>450303</v>
      </c>
      <c r="F32" s="21">
        <v>0</v>
      </c>
      <c r="G32" s="21">
        <v>0</v>
      </c>
      <c r="H32" s="21" t="s">
        <v>81</v>
      </c>
      <c r="I32" s="21" t="s">
        <v>82</v>
      </c>
      <c r="J32" s="21">
        <v>30000000</v>
      </c>
      <c r="K32" s="21">
        <f t="shared" si="18"/>
        <v>22500000</v>
      </c>
      <c r="L32" s="21">
        <f t="shared" si="19"/>
        <v>2250000</v>
      </c>
      <c r="M32" s="21">
        <f t="shared" si="20"/>
        <v>24750000</v>
      </c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x14ac:dyDescent="0.25">
      <c r="B33" s="20">
        <f t="shared" si="3"/>
        <v>30</v>
      </c>
      <c r="C33" s="68" t="s">
        <v>53</v>
      </c>
      <c r="D33" s="21">
        <v>19250</v>
      </c>
      <c r="E33" s="21">
        <v>0</v>
      </c>
      <c r="F33" s="21">
        <v>0</v>
      </c>
      <c r="G33" s="21">
        <v>0</v>
      </c>
      <c r="H33" s="21" t="s">
        <v>81</v>
      </c>
      <c r="I33" s="21" t="s">
        <v>82</v>
      </c>
      <c r="J33" s="21">
        <v>10000000</v>
      </c>
      <c r="K33" s="21">
        <f t="shared" si="18"/>
        <v>7500000</v>
      </c>
      <c r="L33" s="21">
        <f t="shared" si="19"/>
        <v>750000</v>
      </c>
      <c r="M33" s="21">
        <f t="shared" si="20"/>
        <v>8250000</v>
      </c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x14ac:dyDescent="0.25">
      <c r="B34" s="20">
        <f t="shared" si="3"/>
        <v>31</v>
      </c>
      <c r="C34" s="68" t="s">
        <v>72</v>
      </c>
      <c r="D34" s="21">
        <v>16759</v>
      </c>
      <c r="E34" s="21">
        <v>202531</v>
      </c>
      <c r="F34" s="21">
        <v>0</v>
      </c>
      <c r="G34" s="21">
        <v>0</v>
      </c>
      <c r="H34" s="21" t="s">
        <v>81</v>
      </c>
      <c r="I34" s="21" t="s">
        <v>82</v>
      </c>
      <c r="J34" s="21">
        <v>20000000</v>
      </c>
      <c r="K34" s="21">
        <f t="shared" si="18"/>
        <v>15000000</v>
      </c>
      <c r="L34" s="21">
        <f t="shared" si="19"/>
        <v>1500000</v>
      </c>
      <c r="M34" s="21">
        <f t="shared" si="20"/>
        <v>16500000</v>
      </c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2:26" x14ac:dyDescent="0.25">
      <c r="B35" s="20">
        <f t="shared" si="3"/>
        <v>32</v>
      </c>
      <c r="C35" s="68" t="s">
        <v>72</v>
      </c>
      <c r="D35" s="21">
        <v>22352</v>
      </c>
      <c r="E35" s="21">
        <v>201126</v>
      </c>
      <c r="F35" s="21">
        <v>0</v>
      </c>
      <c r="G35" s="21">
        <v>0</v>
      </c>
      <c r="H35" s="21" t="s">
        <v>81</v>
      </c>
      <c r="I35" s="21" t="s">
        <v>82</v>
      </c>
      <c r="J35" s="21">
        <v>20000000</v>
      </c>
      <c r="K35" s="21">
        <f t="shared" si="18"/>
        <v>15000000</v>
      </c>
      <c r="L35" s="21">
        <f t="shared" si="19"/>
        <v>1500000</v>
      </c>
      <c r="M35" s="21">
        <f t="shared" si="20"/>
        <v>16500000</v>
      </c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2:26" x14ac:dyDescent="0.25">
      <c r="B36" s="20">
        <f t="shared" si="3"/>
        <v>33</v>
      </c>
      <c r="C36" s="68" t="s">
        <v>53</v>
      </c>
      <c r="D36" s="21">
        <v>56755</v>
      </c>
      <c r="E36" s="21">
        <v>0</v>
      </c>
      <c r="F36" s="21">
        <v>0</v>
      </c>
      <c r="G36" s="21">
        <v>0</v>
      </c>
      <c r="H36" s="21" t="s">
        <v>81</v>
      </c>
      <c r="I36" s="21" t="s">
        <v>82</v>
      </c>
      <c r="J36" s="21">
        <v>15000000</v>
      </c>
      <c r="K36" s="21">
        <f t="shared" si="18"/>
        <v>11250000</v>
      </c>
      <c r="L36" s="21">
        <f t="shared" si="19"/>
        <v>1125000</v>
      </c>
      <c r="M36" s="21">
        <f t="shared" si="20"/>
        <v>12375000</v>
      </c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x14ac:dyDescent="0.25">
      <c r="B37" s="20">
        <f t="shared" si="3"/>
        <v>34</v>
      </c>
      <c r="C37" s="68" t="s">
        <v>25</v>
      </c>
      <c r="D37" s="21">
        <v>544</v>
      </c>
      <c r="E37" s="21">
        <v>0</v>
      </c>
      <c r="F37" s="21">
        <v>0</v>
      </c>
      <c r="G37" s="21">
        <v>0</v>
      </c>
      <c r="H37" s="21" t="s">
        <v>81</v>
      </c>
      <c r="I37" s="21" t="s">
        <v>82</v>
      </c>
      <c r="J37" s="21">
        <v>4000000</v>
      </c>
      <c r="K37" s="21">
        <f t="shared" si="18"/>
        <v>3000000</v>
      </c>
      <c r="L37" s="21">
        <f t="shared" si="19"/>
        <v>300000</v>
      </c>
      <c r="M37" s="21">
        <f t="shared" si="20"/>
        <v>3300000</v>
      </c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2:26" x14ac:dyDescent="0.25">
      <c r="B38" s="20">
        <f t="shared" si="3"/>
        <v>35</v>
      </c>
      <c r="C38" s="68" t="s">
        <v>25</v>
      </c>
      <c r="D38" s="21">
        <v>570</v>
      </c>
      <c r="E38" s="21">
        <v>0</v>
      </c>
      <c r="F38" s="21">
        <v>0</v>
      </c>
      <c r="G38" s="21">
        <v>0</v>
      </c>
      <c r="H38" s="21" t="s">
        <v>85</v>
      </c>
      <c r="I38" s="21" t="s">
        <v>82</v>
      </c>
      <c r="J38" s="21">
        <v>4000000</v>
      </c>
      <c r="K38" s="21">
        <f t="shared" si="18"/>
        <v>3000000</v>
      </c>
      <c r="L38" s="21">
        <f t="shared" si="19"/>
        <v>300000</v>
      </c>
      <c r="M38" s="21">
        <f t="shared" si="20"/>
        <v>3300000</v>
      </c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2:26" x14ac:dyDescent="0.25">
      <c r="B39" s="20">
        <f t="shared" si="3"/>
        <v>36</v>
      </c>
      <c r="C39" s="68" t="s">
        <v>25</v>
      </c>
      <c r="D39" s="21">
        <v>6271</v>
      </c>
      <c r="E39" s="21">
        <v>0</v>
      </c>
      <c r="F39" s="21">
        <v>0</v>
      </c>
      <c r="G39" s="21">
        <v>0</v>
      </c>
      <c r="H39" s="21" t="s">
        <v>85</v>
      </c>
      <c r="I39" s="21" t="s">
        <v>82</v>
      </c>
      <c r="J39" s="21">
        <v>4000000</v>
      </c>
      <c r="K39" s="21">
        <f t="shared" si="18"/>
        <v>3000000</v>
      </c>
      <c r="L39" s="21">
        <f t="shared" si="19"/>
        <v>300000</v>
      </c>
      <c r="M39" s="21">
        <f t="shared" si="20"/>
        <v>3300000</v>
      </c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2:26" x14ac:dyDescent="0.25">
      <c r="B40" s="20">
        <f t="shared" si="3"/>
        <v>37</v>
      </c>
      <c r="C40" s="68" t="s">
        <v>25</v>
      </c>
      <c r="D40" s="21">
        <v>570</v>
      </c>
      <c r="E40" s="21">
        <v>0</v>
      </c>
      <c r="F40" s="21">
        <v>0</v>
      </c>
      <c r="G40" s="21">
        <v>0</v>
      </c>
      <c r="H40" s="21" t="s">
        <v>85</v>
      </c>
      <c r="I40" s="21" t="s">
        <v>82</v>
      </c>
      <c r="J40" s="21">
        <v>4000000</v>
      </c>
      <c r="K40" s="21">
        <f t="shared" si="18"/>
        <v>3000000</v>
      </c>
      <c r="L40" s="21">
        <f t="shared" si="19"/>
        <v>300000</v>
      </c>
      <c r="M40" s="21">
        <f t="shared" si="20"/>
        <v>3300000</v>
      </c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2:26" x14ac:dyDescent="0.25">
      <c r="B41" s="20">
        <f t="shared" si="3"/>
        <v>38</v>
      </c>
      <c r="C41" s="68" t="s">
        <v>25</v>
      </c>
      <c r="D41" s="21">
        <v>6271</v>
      </c>
      <c r="E41" s="21">
        <v>0</v>
      </c>
      <c r="F41" s="21">
        <v>0</v>
      </c>
      <c r="G41" s="21">
        <v>0</v>
      </c>
      <c r="H41" s="21" t="s">
        <v>85</v>
      </c>
      <c r="I41" s="21" t="s">
        <v>82</v>
      </c>
      <c r="J41" s="21">
        <v>4000000</v>
      </c>
      <c r="K41" s="21">
        <f t="shared" si="18"/>
        <v>3000000</v>
      </c>
      <c r="L41" s="21">
        <f t="shared" si="19"/>
        <v>300000</v>
      </c>
      <c r="M41" s="21">
        <f t="shared" si="20"/>
        <v>3300000</v>
      </c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2:26" x14ac:dyDescent="0.25">
      <c r="B42" s="20">
        <f t="shared" si="3"/>
        <v>39</v>
      </c>
      <c r="C42" s="68" t="s">
        <v>72</v>
      </c>
      <c r="D42" s="21">
        <v>15035</v>
      </c>
      <c r="E42" s="21">
        <v>51651</v>
      </c>
      <c r="F42" s="21">
        <v>0</v>
      </c>
      <c r="G42" s="21">
        <v>65</v>
      </c>
      <c r="H42" s="21" t="s">
        <v>86</v>
      </c>
      <c r="I42" s="21" t="s">
        <v>82</v>
      </c>
      <c r="J42" s="21">
        <v>20000000</v>
      </c>
      <c r="K42" s="21">
        <f t="shared" si="18"/>
        <v>15000000</v>
      </c>
      <c r="L42" s="21">
        <f t="shared" si="19"/>
        <v>1500000</v>
      </c>
      <c r="M42" s="21">
        <f t="shared" si="20"/>
        <v>16500000</v>
      </c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2:26" x14ac:dyDescent="0.25">
      <c r="B43" s="20">
        <f t="shared" si="3"/>
        <v>40</v>
      </c>
      <c r="C43" s="68" t="s">
        <v>53</v>
      </c>
      <c r="D43" s="21">
        <v>14691</v>
      </c>
      <c r="E43" s="21">
        <v>0</v>
      </c>
      <c r="F43" s="21">
        <v>0</v>
      </c>
      <c r="G43" s="21">
        <v>0</v>
      </c>
      <c r="H43" s="21" t="s">
        <v>86</v>
      </c>
      <c r="I43" s="21" t="s">
        <v>82</v>
      </c>
      <c r="J43" s="21">
        <v>10000000</v>
      </c>
      <c r="K43" s="21">
        <f t="shared" si="18"/>
        <v>7500000</v>
      </c>
      <c r="L43" s="21">
        <f t="shared" si="19"/>
        <v>750000</v>
      </c>
      <c r="M43" s="21">
        <f t="shared" si="20"/>
        <v>8250000</v>
      </c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2:26" x14ac:dyDescent="0.25">
      <c r="B44" s="20">
        <f t="shared" si="3"/>
        <v>41</v>
      </c>
      <c r="C44" s="67" t="s">
        <v>25</v>
      </c>
      <c r="D44" s="21">
        <v>1214</v>
      </c>
      <c r="E44" s="21">
        <v>0</v>
      </c>
      <c r="F44" s="21">
        <v>0</v>
      </c>
      <c r="G44" s="21">
        <v>0</v>
      </c>
      <c r="H44" s="21" t="s">
        <v>78</v>
      </c>
      <c r="I44" s="21" t="s">
        <v>79</v>
      </c>
      <c r="J44" s="21">
        <v>4000000</v>
      </c>
      <c r="K44" s="21">
        <f t="shared" si="18"/>
        <v>3000000</v>
      </c>
      <c r="L44" s="21">
        <f t="shared" si="19"/>
        <v>300000</v>
      </c>
      <c r="M44" s="21">
        <f t="shared" si="20"/>
        <v>3300000</v>
      </c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2:26" x14ac:dyDescent="0.25">
      <c r="B45" s="20">
        <f t="shared" si="3"/>
        <v>42</v>
      </c>
      <c r="C45" s="67" t="s">
        <v>25</v>
      </c>
      <c r="D45" s="21">
        <v>1643</v>
      </c>
      <c r="E45" s="21">
        <v>0</v>
      </c>
      <c r="F45" s="21">
        <v>0</v>
      </c>
      <c r="G45" s="21">
        <v>0</v>
      </c>
      <c r="H45" s="21" t="s">
        <v>78</v>
      </c>
      <c r="I45" s="21" t="s">
        <v>79</v>
      </c>
      <c r="J45" s="21">
        <v>4000000</v>
      </c>
      <c r="K45" s="21">
        <f t="shared" si="18"/>
        <v>3000000</v>
      </c>
      <c r="L45" s="21">
        <f t="shared" si="19"/>
        <v>300000</v>
      </c>
      <c r="M45" s="21">
        <f t="shared" si="20"/>
        <v>3300000</v>
      </c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2:26" x14ac:dyDescent="0.25">
      <c r="B46" s="20">
        <f t="shared" si="3"/>
        <v>43</v>
      </c>
      <c r="C46" s="67" t="s">
        <v>25</v>
      </c>
      <c r="D46" s="21">
        <v>955</v>
      </c>
      <c r="E46" s="21">
        <v>0</v>
      </c>
      <c r="F46" s="21">
        <v>0</v>
      </c>
      <c r="G46" s="21">
        <v>0</v>
      </c>
      <c r="H46" s="21" t="s">
        <v>78</v>
      </c>
      <c r="I46" s="21" t="s">
        <v>79</v>
      </c>
      <c r="J46" s="21">
        <v>4000000</v>
      </c>
      <c r="K46" s="21">
        <f t="shared" si="18"/>
        <v>3000000</v>
      </c>
      <c r="L46" s="21">
        <f t="shared" si="19"/>
        <v>300000</v>
      </c>
      <c r="M46" s="21">
        <f t="shared" si="20"/>
        <v>3300000</v>
      </c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2:26" x14ac:dyDescent="0.25">
      <c r="B47" s="20">
        <f t="shared" si="3"/>
        <v>44</v>
      </c>
      <c r="C47" s="67" t="s">
        <v>53</v>
      </c>
      <c r="D47" s="21">
        <v>10199</v>
      </c>
      <c r="E47" s="21">
        <v>0</v>
      </c>
      <c r="F47" s="21">
        <v>0</v>
      </c>
      <c r="G47" s="21">
        <v>0</v>
      </c>
      <c r="H47" s="21" t="s">
        <v>92</v>
      </c>
      <c r="I47" s="21" t="s">
        <v>93</v>
      </c>
      <c r="J47" s="21">
        <v>10000000</v>
      </c>
      <c r="K47" s="21">
        <f t="shared" si="18"/>
        <v>7500000</v>
      </c>
      <c r="L47" s="21">
        <f t="shared" si="19"/>
        <v>750000</v>
      </c>
      <c r="M47" s="21">
        <f t="shared" si="20"/>
        <v>8250000</v>
      </c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x14ac:dyDescent="0.25">
      <c r="B48" s="20">
        <f t="shared" si="3"/>
        <v>45</v>
      </c>
      <c r="C48" s="67" t="s">
        <v>25</v>
      </c>
      <c r="D48" s="21">
        <v>3000</v>
      </c>
      <c r="E48" s="21">
        <v>0</v>
      </c>
      <c r="F48" s="21">
        <v>0</v>
      </c>
      <c r="G48" s="21">
        <v>0</v>
      </c>
      <c r="H48" s="21" t="s">
        <v>88</v>
      </c>
      <c r="I48" s="21" t="s">
        <v>89</v>
      </c>
      <c r="J48" s="21">
        <v>4000000</v>
      </c>
      <c r="K48" s="21">
        <f t="shared" si="18"/>
        <v>3000000</v>
      </c>
      <c r="L48" s="21">
        <f t="shared" si="19"/>
        <v>300000</v>
      </c>
      <c r="M48" s="21">
        <f t="shared" si="20"/>
        <v>3300000</v>
      </c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2:26" x14ac:dyDescent="0.25">
      <c r="B49" s="20">
        <f t="shared" si="3"/>
        <v>46</v>
      </c>
      <c r="C49" s="67" t="s">
        <v>25</v>
      </c>
      <c r="D49" s="21">
        <v>6493</v>
      </c>
      <c r="E49" s="21">
        <v>0</v>
      </c>
      <c r="F49" s="21">
        <v>0</v>
      </c>
      <c r="G49" s="21">
        <v>0</v>
      </c>
      <c r="H49" s="21" t="s">
        <v>90</v>
      </c>
      <c r="I49" s="21" t="s">
        <v>91</v>
      </c>
      <c r="J49" s="21">
        <v>4000000</v>
      </c>
      <c r="K49" s="21">
        <f t="shared" si="18"/>
        <v>3000000</v>
      </c>
      <c r="L49" s="21">
        <f t="shared" si="19"/>
        <v>300000</v>
      </c>
      <c r="M49" s="21">
        <f t="shared" si="20"/>
        <v>3300000</v>
      </c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2:26" x14ac:dyDescent="0.25">
      <c r="B50" s="20">
        <f t="shared" si="3"/>
        <v>47</v>
      </c>
      <c r="C50" s="67" t="s">
        <v>25</v>
      </c>
      <c r="D50" s="21">
        <v>1902</v>
      </c>
      <c r="E50" s="21">
        <v>0</v>
      </c>
      <c r="F50" s="21">
        <v>0</v>
      </c>
      <c r="G50" s="21">
        <v>0</v>
      </c>
      <c r="H50" s="21" t="s">
        <v>94</v>
      </c>
      <c r="I50" s="21" t="s">
        <v>95</v>
      </c>
      <c r="J50" s="21">
        <v>4000000</v>
      </c>
      <c r="K50" s="21">
        <f t="shared" si="18"/>
        <v>3000000</v>
      </c>
      <c r="L50" s="21">
        <f t="shared" si="19"/>
        <v>300000</v>
      </c>
      <c r="M50" s="21">
        <f t="shared" si="20"/>
        <v>3300000</v>
      </c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2:26" x14ac:dyDescent="0.25">
      <c r="B51" s="20">
        <f t="shared" si="3"/>
        <v>48</v>
      </c>
      <c r="C51" s="69" t="s">
        <v>25</v>
      </c>
      <c r="D51" s="21">
        <v>2561</v>
      </c>
      <c r="E51" s="21">
        <v>0</v>
      </c>
      <c r="F51" s="21">
        <v>0</v>
      </c>
      <c r="G51" s="21">
        <v>0</v>
      </c>
      <c r="H51" s="21" t="s">
        <v>96</v>
      </c>
      <c r="I51" s="21" t="s">
        <v>97</v>
      </c>
      <c r="J51" s="21">
        <v>4000000</v>
      </c>
      <c r="K51" s="21">
        <f t="shared" si="18"/>
        <v>3000000</v>
      </c>
      <c r="L51" s="21">
        <f t="shared" si="19"/>
        <v>300000</v>
      </c>
      <c r="M51" s="21">
        <f t="shared" si="20"/>
        <v>3300000</v>
      </c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2:26" x14ac:dyDescent="0.25">
      <c r="B52" s="20">
        <f t="shared" si="3"/>
        <v>49</v>
      </c>
      <c r="C52" s="70" t="s">
        <v>53</v>
      </c>
      <c r="D52" s="21">
        <v>62863</v>
      </c>
      <c r="E52" s="21">
        <v>0</v>
      </c>
      <c r="F52" s="21">
        <v>0</v>
      </c>
      <c r="G52" s="21">
        <v>0</v>
      </c>
      <c r="H52" s="21" t="s">
        <v>98</v>
      </c>
      <c r="I52" s="21" t="s">
        <v>99</v>
      </c>
      <c r="J52" s="21">
        <v>15000000</v>
      </c>
      <c r="K52" s="21">
        <f t="shared" si="18"/>
        <v>11250000</v>
      </c>
      <c r="L52" s="21">
        <f t="shared" si="19"/>
        <v>1125000</v>
      </c>
      <c r="M52" s="21">
        <f t="shared" si="20"/>
        <v>12375000</v>
      </c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2:26" x14ac:dyDescent="0.25">
      <c r="B53" s="20">
        <f t="shared" si="3"/>
        <v>50</v>
      </c>
      <c r="C53" s="70" t="s">
        <v>25</v>
      </c>
      <c r="D53" s="21">
        <v>1437</v>
      </c>
      <c r="E53" s="21">
        <v>0</v>
      </c>
      <c r="F53" s="21">
        <v>0</v>
      </c>
      <c r="G53" s="21">
        <v>0</v>
      </c>
      <c r="H53" s="21" t="s">
        <v>98</v>
      </c>
      <c r="I53" s="21" t="s">
        <v>99</v>
      </c>
      <c r="J53" s="21">
        <v>4000000</v>
      </c>
      <c r="K53" s="21">
        <f t="shared" si="18"/>
        <v>3000000</v>
      </c>
      <c r="L53" s="21">
        <f t="shared" si="19"/>
        <v>300000</v>
      </c>
      <c r="M53" s="21">
        <f t="shared" si="20"/>
        <v>3300000</v>
      </c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2:26" x14ac:dyDescent="0.25">
      <c r="B54" s="20">
        <f t="shared" si="3"/>
        <v>51</v>
      </c>
      <c r="C54" s="70" t="s">
        <v>53</v>
      </c>
      <c r="D54" s="21">
        <v>3555</v>
      </c>
      <c r="E54" s="21">
        <v>0</v>
      </c>
      <c r="F54" s="21">
        <v>0</v>
      </c>
      <c r="G54" s="21">
        <v>0</v>
      </c>
      <c r="H54" s="21" t="s">
        <v>100</v>
      </c>
      <c r="I54" s="21" t="s">
        <v>101</v>
      </c>
      <c r="J54" s="21">
        <v>25000000</v>
      </c>
      <c r="K54" s="21">
        <f t="shared" si="18"/>
        <v>18750000</v>
      </c>
      <c r="L54" s="21">
        <f t="shared" si="19"/>
        <v>1875000</v>
      </c>
      <c r="M54" s="21">
        <f t="shared" si="20"/>
        <v>20625000</v>
      </c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2:26" x14ac:dyDescent="0.25">
      <c r="B55" s="20">
        <f t="shared" si="3"/>
        <v>52</v>
      </c>
      <c r="C55" s="70" t="s">
        <v>25</v>
      </c>
      <c r="D55" s="21">
        <v>5340</v>
      </c>
      <c r="E55" s="21">
        <v>0</v>
      </c>
      <c r="F55" s="21">
        <v>0</v>
      </c>
      <c r="G55" s="21">
        <v>0</v>
      </c>
      <c r="H55" s="21" t="s">
        <v>100</v>
      </c>
      <c r="I55" s="21" t="s">
        <v>101</v>
      </c>
      <c r="J55" s="21">
        <v>4000000</v>
      </c>
      <c r="K55" s="21">
        <f t="shared" si="18"/>
        <v>3000000</v>
      </c>
      <c r="L55" s="21">
        <f t="shared" si="19"/>
        <v>300000</v>
      </c>
      <c r="M55" s="21">
        <f t="shared" si="20"/>
        <v>3300000</v>
      </c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2:26" x14ac:dyDescent="0.25">
      <c r="B56" s="20">
        <f t="shared" si="3"/>
        <v>53</v>
      </c>
      <c r="C56" s="67" t="s">
        <v>25</v>
      </c>
      <c r="D56" s="21">
        <v>1902</v>
      </c>
      <c r="E56" s="21">
        <v>0</v>
      </c>
      <c r="F56" s="21">
        <v>0</v>
      </c>
      <c r="G56" s="21">
        <v>0</v>
      </c>
      <c r="H56" s="21" t="s">
        <v>102</v>
      </c>
      <c r="I56" s="21" t="s">
        <v>103</v>
      </c>
      <c r="J56" s="21">
        <v>4000000</v>
      </c>
      <c r="K56" s="21">
        <f t="shared" si="18"/>
        <v>3000000</v>
      </c>
      <c r="L56" s="21">
        <f t="shared" si="19"/>
        <v>300000</v>
      </c>
      <c r="M56" s="21">
        <f t="shared" si="20"/>
        <v>3300000</v>
      </c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2:26" x14ac:dyDescent="0.25">
      <c r="B57" s="20">
        <f t="shared" si="3"/>
        <v>54</v>
      </c>
      <c r="C57" s="67" t="s">
        <v>25</v>
      </c>
      <c r="D57" s="21">
        <v>785</v>
      </c>
      <c r="E57" s="21">
        <v>0</v>
      </c>
      <c r="F57" s="21">
        <v>0</v>
      </c>
      <c r="G57" s="21">
        <v>0</v>
      </c>
      <c r="H57" s="21" t="s">
        <v>102</v>
      </c>
      <c r="I57" s="21" t="s">
        <v>103</v>
      </c>
      <c r="J57" s="21">
        <v>4000000</v>
      </c>
      <c r="K57" s="21">
        <f t="shared" si="18"/>
        <v>3000000</v>
      </c>
      <c r="L57" s="21">
        <f t="shared" si="19"/>
        <v>300000</v>
      </c>
      <c r="M57" s="21">
        <f t="shared" si="20"/>
        <v>3300000</v>
      </c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2:26" x14ac:dyDescent="0.25">
      <c r="B58" s="20">
        <f t="shared" si="3"/>
        <v>55</v>
      </c>
      <c r="C58" s="67" t="s">
        <v>25</v>
      </c>
      <c r="D58" s="21">
        <v>3200</v>
      </c>
      <c r="E58" s="21">
        <v>0</v>
      </c>
      <c r="F58" s="21">
        <v>0</v>
      </c>
      <c r="G58" s="21">
        <v>0</v>
      </c>
      <c r="H58" s="21" t="s">
        <v>104</v>
      </c>
      <c r="I58" s="21" t="s">
        <v>104</v>
      </c>
      <c r="J58" s="21">
        <v>4000000</v>
      </c>
      <c r="K58" s="21">
        <f t="shared" si="18"/>
        <v>3000000</v>
      </c>
      <c r="L58" s="21">
        <f t="shared" si="19"/>
        <v>300000</v>
      </c>
      <c r="M58" s="21">
        <f t="shared" si="20"/>
        <v>3300000</v>
      </c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2:26" x14ac:dyDescent="0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P59" s="22">
        <f>P28+1</f>
        <v>23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2:26" x14ac:dyDescent="0.25">
      <c r="J60" s="24">
        <f>SUM(J4:J59)</f>
        <v>792000000</v>
      </c>
      <c r="K60" s="24">
        <f>SUM(K4:K59)</f>
        <v>594000000</v>
      </c>
      <c r="L60" s="24">
        <f>SUM(L4:L59)</f>
        <v>59400000</v>
      </c>
      <c r="M60" s="24">
        <f>SUM(M4:M59)</f>
        <v>653400000</v>
      </c>
      <c r="W60" s="6"/>
      <c r="X60" s="6"/>
      <c r="Y60" s="6"/>
      <c r="Z60" s="24">
        <f>SUM(Z4:Z59)</f>
        <v>8800000</v>
      </c>
    </row>
    <row r="61" spans="2:26" x14ac:dyDescent="0.25">
      <c r="M61" s="59"/>
      <c r="Z61" s="24">
        <v>75000000</v>
      </c>
    </row>
    <row r="62" spans="2:26" x14ac:dyDescent="0.25">
      <c r="J62" s="6"/>
      <c r="K62" s="6"/>
      <c r="L62" s="6"/>
      <c r="M62" s="24">
        <f>M61/1.1</f>
        <v>0</v>
      </c>
      <c r="W62" s="6"/>
      <c r="X62" s="6"/>
      <c r="Y62" s="6"/>
      <c r="Z62" s="24">
        <f>Z61/1.1</f>
        <v>68181818.181818172</v>
      </c>
    </row>
    <row r="64" spans="2:26" x14ac:dyDescent="0.25">
      <c r="M64" s="1">
        <v>52000000</v>
      </c>
    </row>
    <row r="65" spans="13:13" x14ac:dyDescent="0.25">
      <c r="M65" s="1">
        <f>M64/1.1</f>
        <v>47272727.272727266</v>
      </c>
    </row>
    <row r="66" spans="13:13" x14ac:dyDescent="0.25">
      <c r="M66" s="1">
        <f>M65/B24</f>
        <v>2251082.2510822508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C59 Q5:Q59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30"/>
  <sheetViews>
    <sheetView showGridLines="0" topLeftCell="R120" zoomScale="178" zoomScaleNormal="178" workbookViewId="0">
      <selection activeCell="W126" sqref="W126"/>
    </sheetView>
  </sheetViews>
  <sheetFormatPr defaultRowHeight="15" outlineLevelCol="1" x14ac:dyDescent="0.25"/>
  <cols>
    <col min="1" max="1" width="0" style="1" hidden="1" customWidth="1"/>
    <col min="2" max="2" width="3.5703125" style="4" hidden="1" customWidth="1" outlineLevel="1"/>
    <col min="3" max="3" width="19.42578125" style="1" hidden="1" customWidth="1" outlineLevel="1"/>
    <col min="4" max="6" width="16.28515625" style="1" hidden="1" customWidth="1" outlineLevel="1"/>
    <col min="7" max="7" width="12.85546875" style="1" hidden="1" customWidth="1" outlineLevel="1"/>
    <col min="8" max="8" width="13.140625" style="1" hidden="1" customWidth="1" outlineLevel="1"/>
    <col min="9" max="10" width="11.28515625" style="1" hidden="1" customWidth="1" outlineLevel="1"/>
    <col min="11" max="11" width="9.5703125" style="1" hidden="1" customWidth="1" outlineLevel="1"/>
    <col min="12" max="12" width="12.28515625" style="1" hidden="1" customWidth="1" outlineLevel="1"/>
    <col min="13" max="13" width="12.28515625" style="1" hidden="1" customWidth="1"/>
    <col min="14" max="14" width="8.140625" style="1" customWidth="1"/>
    <col min="15" max="15" width="4.42578125" style="1" customWidth="1"/>
    <col min="16" max="16" width="31.85546875" style="1" bestFit="1" customWidth="1"/>
    <col min="17" max="18" width="14.42578125" style="4" customWidth="1"/>
    <col min="19" max="21" width="14.42578125" style="1" customWidth="1"/>
    <col min="22" max="22" width="4.42578125" style="1" customWidth="1"/>
    <col min="23" max="23" width="31.85546875" style="1" bestFit="1" customWidth="1"/>
    <col min="24" max="25" width="14.42578125" style="4" customWidth="1"/>
    <col min="26" max="27" width="14.42578125" style="1" customWidth="1"/>
    <col min="28" max="28" width="8.140625" style="1" customWidth="1"/>
    <col min="29" max="29" width="4.42578125" style="1" customWidth="1"/>
    <col min="30" max="30" width="31.85546875" style="1" bestFit="1" customWidth="1"/>
    <col min="31" max="32" width="14.42578125" style="4" customWidth="1"/>
    <col min="33" max="34" width="14.42578125" style="1" customWidth="1"/>
    <col min="35" max="16384" width="9.140625" style="1"/>
  </cols>
  <sheetData>
    <row r="2" spans="2:34" x14ac:dyDescent="0.25">
      <c r="J2" s="14">
        <v>0.2</v>
      </c>
      <c r="K2" s="14">
        <v>0.1</v>
      </c>
      <c r="L2" s="13"/>
      <c r="M2" s="13"/>
      <c r="O2" s="120" t="s">
        <v>105</v>
      </c>
      <c r="P2" s="121"/>
      <c r="Q2" s="121"/>
      <c r="R2" s="121"/>
      <c r="S2" s="121"/>
      <c r="T2" s="122"/>
      <c r="V2" s="120" t="s">
        <v>107</v>
      </c>
      <c r="W2" s="121"/>
      <c r="X2" s="121"/>
      <c r="Y2" s="121"/>
      <c r="Z2" s="121"/>
      <c r="AA2" s="122"/>
      <c r="AC2" s="120" t="s">
        <v>108</v>
      </c>
      <c r="AD2" s="121"/>
      <c r="AE2" s="121"/>
      <c r="AF2" s="121"/>
      <c r="AG2" s="121"/>
      <c r="AH2" s="122"/>
    </row>
    <row r="3" spans="2:34" s="6" customFormat="1" x14ac:dyDescent="0.25">
      <c r="B3" s="7"/>
      <c r="C3" s="6" t="s">
        <v>2</v>
      </c>
      <c r="D3" s="6" t="s">
        <v>3</v>
      </c>
      <c r="E3" s="6" t="s">
        <v>4</v>
      </c>
      <c r="F3" s="6" t="s">
        <v>14</v>
      </c>
      <c r="G3" s="6" t="s">
        <v>20</v>
      </c>
      <c r="H3" s="6" t="s">
        <v>21</v>
      </c>
      <c r="I3" s="6" t="s">
        <v>5</v>
      </c>
      <c r="J3" s="6" t="s">
        <v>18</v>
      </c>
      <c r="K3" s="6" t="s">
        <v>29</v>
      </c>
      <c r="L3" s="6" t="s">
        <v>9</v>
      </c>
      <c r="O3" s="17" t="s">
        <v>35</v>
      </c>
      <c r="P3" s="16" t="s">
        <v>36</v>
      </c>
      <c r="Q3" s="15" t="s">
        <v>44</v>
      </c>
      <c r="R3" s="15" t="s">
        <v>7</v>
      </c>
      <c r="S3" s="17" t="s">
        <v>8</v>
      </c>
      <c r="T3" s="17" t="s">
        <v>9</v>
      </c>
      <c r="V3" s="17" t="s">
        <v>35</v>
      </c>
      <c r="W3" s="16" t="s">
        <v>36</v>
      </c>
      <c r="X3" s="15" t="s">
        <v>44</v>
      </c>
      <c r="Y3" s="15" t="s">
        <v>7</v>
      </c>
      <c r="Z3" s="17" t="s">
        <v>8</v>
      </c>
      <c r="AA3" s="17" t="s">
        <v>9</v>
      </c>
      <c r="AC3" s="17" t="s">
        <v>35</v>
      </c>
      <c r="AD3" s="16" t="s">
        <v>36</v>
      </c>
      <c r="AE3" s="15" t="s">
        <v>44</v>
      </c>
      <c r="AF3" s="15" t="s">
        <v>7</v>
      </c>
      <c r="AG3" s="17" t="s">
        <v>8</v>
      </c>
      <c r="AH3" s="17" t="s">
        <v>9</v>
      </c>
    </row>
    <row r="4" spans="2:34" x14ac:dyDescent="0.25">
      <c r="B4" s="4">
        <v>1</v>
      </c>
      <c r="C4" s="1" t="s">
        <v>17</v>
      </c>
      <c r="G4" s="1" t="s">
        <v>19</v>
      </c>
      <c r="H4" s="1" t="s">
        <v>22</v>
      </c>
      <c r="I4" s="1">
        <v>4950000</v>
      </c>
      <c r="J4" s="1">
        <f>I4*(1-$J$2)</f>
        <v>3960000</v>
      </c>
      <c r="K4" s="1">
        <f>J4*K$2</f>
        <v>396000</v>
      </c>
      <c r="L4" s="1">
        <f>J4+K4</f>
        <v>4356000</v>
      </c>
      <c r="O4" s="41">
        <v>1</v>
      </c>
      <c r="P4" s="37" t="s">
        <v>6</v>
      </c>
      <c r="Q4" s="38"/>
      <c r="R4" s="38"/>
      <c r="S4" s="39"/>
      <c r="T4" s="40"/>
      <c r="V4" s="41">
        <v>1</v>
      </c>
      <c r="W4" s="37" t="s">
        <v>6</v>
      </c>
      <c r="X4" s="38"/>
      <c r="Y4" s="38"/>
      <c r="Z4" s="39"/>
      <c r="AA4" s="40"/>
      <c r="AC4" s="41">
        <v>1</v>
      </c>
      <c r="AD4" s="37" t="s">
        <v>6</v>
      </c>
      <c r="AE4" s="38"/>
      <c r="AF4" s="38"/>
      <c r="AG4" s="39"/>
      <c r="AH4" s="40"/>
    </row>
    <row r="5" spans="2:34" x14ac:dyDescent="0.25">
      <c r="B5" s="4">
        <f>B4+1</f>
        <v>2</v>
      </c>
      <c r="C5" s="1" t="s">
        <v>23</v>
      </c>
      <c r="G5" s="1" t="s">
        <v>15</v>
      </c>
      <c r="H5" s="1" t="s">
        <v>24</v>
      </c>
      <c r="I5" s="1">
        <v>4950000</v>
      </c>
      <c r="J5" s="1">
        <f t="shared" ref="J5:J21" si="0">I5*(1-$J$2)</f>
        <v>3960000</v>
      </c>
      <c r="K5" s="1">
        <f t="shared" ref="K5:K21" si="1">J5*K$2</f>
        <v>396000</v>
      </c>
      <c r="L5" s="1">
        <f t="shared" ref="L5:L21" si="2">J5+K5</f>
        <v>4356000</v>
      </c>
      <c r="O5" s="34"/>
      <c r="P5" s="36" t="s">
        <v>37</v>
      </c>
      <c r="Q5" s="29">
        <v>1</v>
      </c>
      <c r="R5" s="29">
        <v>4</v>
      </c>
      <c r="S5" s="28">
        <v>150000</v>
      </c>
      <c r="T5" s="30">
        <f t="shared" ref="T5:T7" si="3">Q5*R5*S5</f>
        <v>600000</v>
      </c>
      <c r="V5" s="34"/>
      <c r="W5" s="36" t="s">
        <v>37</v>
      </c>
      <c r="X5" s="29">
        <v>0</v>
      </c>
      <c r="Y5" s="29">
        <v>0</v>
      </c>
      <c r="Z5" s="28">
        <v>150000</v>
      </c>
      <c r="AA5" s="30">
        <f t="shared" ref="AA5:AA7" si="4">X5*Y5*Z5</f>
        <v>0</v>
      </c>
      <c r="AC5" s="34"/>
      <c r="AD5" s="36" t="s">
        <v>37</v>
      </c>
      <c r="AE5" s="29">
        <v>2</v>
      </c>
      <c r="AF5" s="29">
        <v>3</v>
      </c>
      <c r="AG5" s="28">
        <v>200000</v>
      </c>
      <c r="AH5" s="30">
        <f t="shared" ref="AH5:AH7" si="5">AE5*AF5*AG5</f>
        <v>1200000</v>
      </c>
    </row>
    <row r="6" spans="2:34" x14ac:dyDescent="0.25">
      <c r="B6" s="4">
        <f t="shared" ref="B6:B26" si="6">B5+1</f>
        <v>3</v>
      </c>
      <c r="C6" s="1" t="s">
        <v>25</v>
      </c>
      <c r="D6" s="1">
        <v>360</v>
      </c>
      <c r="E6" s="1">
        <v>583</v>
      </c>
      <c r="G6" s="1" t="s">
        <v>15</v>
      </c>
      <c r="H6" s="1" t="s">
        <v>24</v>
      </c>
      <c r="I6" s="1">
        <v>4950000</v>
      </c>
      <c r="J6" s="1">
        <f t="shared" si="0"/>
        <v>3960000</v>
      </c>
      <c r="K6" s="1">
        <f t="shared" si="1"/>
        <v>396000</v>
      </c>
      <c r="L6" s="1">
        <f t="shared" si="2"/>
        <v>4356000</v>
      </c>
      <c r="O6" s="34"/>
      <c r="P6" s="36" t="s">
        <v>38</v>
      </c>
      <c r="Q6" s="29">
        <v>2</v>
      </c>
      <c r="R6" s="29">
        <v>4</v>
      </c>
      <c r="S6" s="28">
        <v>100000</v>
      </c>
      <c r="T6" s="30">
        <f t="shared" si="3"/>
        <v>800000</v>
      </c>
      <c r="V6" s="34"/>
      <c r="W6" s="36" t="s">
        <v>38</v>
      </c>
      <c r="X6" s="29">
        <v>1</v>
      </c>
      <c r="Y6" s="29">
        <v>2</v>
      </c>
      <c r="Z6" s="28">
        <v>150000</v>
      </c>
      <c r="AA6" s="30">
        <f t="shared" si="4"/>
        <v>300000</v>
      </c>
      <c r="AC6" s="34"/>
      <c r="AD6" s="36" t="s">
        <v>38</v>
      </c>
      <c r="AE6" s="29">
        <v>1</v>
      </c>
      <c r="AF6" s="29">
        <v>3</v>
      </c>
      <c r="AG6" s="28">
        <v>150000</v>
      </c>
      <c r="AH6" s="30">
        <f t="shared" si="5"/>
        <v>450000</v>
      </c>
    </row>
    <row r="7" spans="2:34" x14ac:dyDescent="0.25">
      <c r="B7" s="4">
        <f t="shared" si="6"/>
        <v>4</v>
      </c>
      <c r="C7" s="1" t="s">
        <v>26</v>
      </c>
      <c r="D7" s="1">
        <v>934</v>
      </c>
      <c r="E7" s="1">
        <v>216</v>
      </c>
      <c r="G7" s="1" t="s">
        <v>15</v>
      </c>
      <c r="H7" s="1" t="s">
        <v>24</v>
      </c>
      <c r="I7" s="1">
        <v>4950000</v>
      </c>
      <c r="J7" s="1">
        <f t="shared" si="0"/>
        <v>3960000</v>
      </c>
      <c r="K7" s="1">
        <f t="shared" si="1"/>
        <v>396000</v>
      </c>
      <c r="L7" s="1">
        <f t="shared" si="2"/>
        <v>4356000</v>
      </c>
      <c r="O7" s="34"/>
      <c r="P7" s="36" t="s">
        <v>39</v>
      </c>
      <c r="Q7" s="29">
        <v>1</v>
      </c>
      <c r="R7" s="29">
        <v>4</v>
      </c>
      <c r="S7" s="28">
        <v>50000</v>
      </c>
      <c r="T7" s="30">
        <f t="shared" si="3"/>
        <v>200000</v>
      </c>
      <c r="V7" s="34"/>
      <c r="W7" s="36" t="s">
        <v>39</v>
      </c>
      <c r="X7" s="29">
        <v>1</v>
      </c>
      <c r="Y7" s="29">
        <v>2</v>
      </c>
      <c r="Z7" s="28">
        <v>100000</v>
      </c>
      <c r="AA7" s="30">
        <f t="shared" si="4"/>
        <v>200000</v>
      </c>
      <c r="AC7" s="34"/>
      <c r="AD7" s="36" t="s">
        <v>39</v>
      </c>
      <c r="AE7" s="29">
        <v>1</v>
      </c>
      <c r="AF7" s="29">
        <v>3</v>
      </c>
      <c r="AG7" s="28">
        <v>50000</v>
      </c>
      <c r="AH7" s="30">
        <f t="shared" si="5"/>
        <v>150000</v>
      </c>
    </row>
    <row r="8" spans="2:34" x14ac:dyDescent="0.25">
      <c r="B8" s="4">
        <f t="shared" si="6"/>
        <v>5</v>
      </c>
      <c r="C8" s="1" t="s">
        <v>27</v>
      </c>
      <c r="D8" s="1">
        <v>198</v>
      </c>
      <c r="G8" s="1" t="s">
        <v>15</v>
      </c>
      <c r="H8" s="1" t="s">
        <v>24</v>
      </c>
      <c r="I8" s="1">
        <v>4950000</v>
      </c>
      <c r="J8" s="1">
        <f t="shared" si="0"/>
        <v>3960000</v>
      </c>
      <c r="K8" s="1">
        <f t="shared" si="1"/>
        <v>396000</v>
      </c>
      <c r="L8" s="1">
        <f t="shared" si="2"/>
        <v>4356000</v>
      </c>
      <c r="O8" s="41">
        <f>O4+1</f>
        <v>2</v>
      </c>
      <c r="P8" s="37" t="s">
        <v>40</v>
      </c>
      <c r="Q8" s="29"/>
      <c r="R8" s="29"/>
      <c r="S8" s="28"/>
      <c r="T8" s="30"/>
      <c r="V8" s="41">
        <f>V4+1</f>
        <v>2</v>
      </c>
      <c r="W8" s="37" t="s">
        <v>40</v>
      </c>
      <c r="X8" s="29"/>
      <c r="Y8" s="29"/>
      <c r="Z8" s="28"/>
      <c r="AA8" s="30"/>
      <c r="AC8" s="41">
        <f>AC4+1</f>
        <v>2</v>
      </c>
      <c r="AD8" s="37" t="s">
        <v>40</v>
      </c>
      <c r="AE8" s="29"/>
      <c r="AF8" s="29"/>
      <c r="AG8" s="28"/>
      <c r="AH8" s="30"/>
    </row>
    <row r="9" spans="2:34" x14ac:dyDescent="0.25">
      <c r="B9" s="4">
        <f t="shared" si="6"/>
        <v>6</v>
      </c>
      <c r="C9" s="1" t="s">
        <v>17</v>
      </c>
      <c r="G9" s="1" t="s">
        <v>28</v>
      </c>
      <c r="H9" s="1" t="s">
        <v>24</v>
      </c>
      <c r="I9" s="1">
        <v>4950000</v>
      </c>
      <c r="J9" s="1">
        <f t="shared" si="0"/>
        <v>3960000</v>
      </c>
      <c r="K9" s="1">
        <f t="shared" si="1"/>
        <v>396000</v>
      </c>
      <c r="L9" s="1">
        <f t="shared" si="2"/>
        <v>4356000</v>
      </c>
      <c r="O9" s="41"/>
      <c r="P9" s="36" t="s">
        <v>54</v>
      </c>
      <c r="Q9" s="29">
        <v>0</v>
      </c>
      <c r="R9" s="29">
        <v>1</v>
      </c>
      <c r="S9" s="28">
        <v>400000</v>
      </c>
      <c r="T9" s="30">
        <f t="shared" ref="T9:T15" si="7">Q9*R9*S9</f>
        <v>0</v>
      </c>
      <c r="V9" s="41"/>
      <c r="W9" s="36" t="s">
        <v>54</v>
      </c>
      <c r="X9" s="29">
        <v>0</v>
      </c>
      <c r="Y9" s="29">
        <v>1</v>
      </c>
      <c r="Z9" s="28">
        <v>400000</v>
      </c>
      <c r="AA9" s="30">
        <f t="shared" ref="AA9:AA15" si="8">X9*Y9*Z9</f>
        <v>0</v>
      </c>
      <c r="AC9" s="41"/>
      <c r="AD9" s="36" t="s">
        <v>54</v>
      </c>
      <c r="AE9" s="29">
        <v>0</v>
      </c>
      <c r="AF9" s="29">
        <v>1</v>
      </c>
      <c r="AG9" s="28">
        <v>400000</v>
      </c>
      <c r="AH9" s="30">
        <f t="shared" ref="AH9:AH15" si="9">AE9*AF9*AG9</f>
        <v>0</v>
      </c>
    </row>
    <row r="10" spans="2:34" x14ac:dyDescent="0.25">
      <c r="B10" s="4">
        <f t="shared" si="6"/>
        <v>7</v>
      </c>
      <c r="C10" s="1" t="s">
        <v>17</v>
      </c>
      <c r="G10" s="1" t="s">
        <v>15</v>
      </c>
      <c r="H10" s="1" t="s">
        <v>24</v>
      </c>
      <c r="I10" s="1">
        <v>4950000</v>
      </c>
      <c r="J10" s="1">
        <f t="shared" si="0"/>
        <v>3960000</v>
      </c>
      <c r="K10" s="1">
        <f t="shared" si="1"/>
        <v>396000</v>
      </c>
      <c r="L10" s="1">
        <f t="shared" si="2"/>
        <v>4356000</v>
      </c>
      <c r="O10" s="41"/>
      <c r="P10" s="36" t="s">
        <v>58</v>
      </c>
      <c r="Q10" s="29">
        <v>0</v>
      </c>
      <c r="R10" s="29">
        <v>2</v>
      </c>
      <c r="S10" s="66">
        <v>789600</v>
      </c>
      <c r="T10" s="30">
        <f t="shared" si="7"/>
        <v>0</v>
      </c>
      <c r="V10" s="41"/>
      <c r="W10" s="36" t="s">
        <v>58</v>
      </c>
      <c r="X10" s="29">
        <v>0</v>
      </c>
      <c r="Y10" s="29">
        <v>2</v>
      </c>
      <c r="Z10" s="66">
        <v>789600</v>
      </c>
      <c r="AA10" s="30">
        <f t="shared" si="8"/>
        <v>0</v>
      </c>
      <c r="AC10" s="41"/>
      <c r="AD10" s="36" t="s">
        <v>58</v>
      </c>
      <c r="AE10" s="29">
        <v>0</v>
      </c>
      <c r="AF10" s="29">
        <v>2</v>
      </c>
      <c r="AG10" s="66">
        <v>789600</v>
      </c>
      <c r="AH10" s="30">
        <f t="shared" si="9"/>
        <v>0</v>
      </c>
    </row>
    <row r="11" spans="2:34" x14ac:dyDescent="0.25">
      <c r="B11" s="4">
        <f t="shared" si="6"/>
        <v>8</v>
      </c>
      <c r="C11" s="1" t="s">
        <v>17</v>
      </c>
      <c r="G11" s="1" t="s">
        <v>15</v>
      </c>
      <c r="H11" s="1" t="s">
        <v>24</v>
      </c>
      <c r="I11" s="1">
        <v>4950000</v>
      </c>
      <c r="J11" s="1">
        <f t="shared" si="0"/>
        <v>3960000</v>
      </c>
      <c r="K11" s="1">
        <f t="shared" si="1"/>
        <v>396000</v>
      </c>
      <c r="L11" s="1">
        <f t="shared" si="2"/>
        <v>4356000</v>
      </c>
      <c r="O11" s="41"/>
      <c r="P11" s="36" t="s">
        <v>59</v>
      </c>
      <c r="Q11" s="29">
        <v>0</v>
      </c>
      <c r="R11" s="29">
        <v>2</v>
      </c>
      <c r="S11" s="28">
        <v>500000</v>
      </c>
      <c r="T11" s="30">
        <f t="shared" si="7"/>
        <v>0</v>
      </c>
      <c r="V11" s="41"/>
      <c r="W11" s="36" t="s">
        <v>59</v>
      </c>
      <c r="X11" s="29">
        <v>0</v>
      </c>
      <c r="Y11" s="29">
        <v>2</v>
      </c>
      <c r="Z11" s="28">
        <v>500000</v>
      </c>
      <c r="AA11" s="30">
        <f t="shared" si="8"/>
        <v>0</v>
      </c>
      <c r="AC11" s="41"/>
      <c r="AD11" s="36" t="s">
        <v>59</v>
      </c>
      <c r="AE11" s="29">
        <v>0</v>
      </c>
      <c r="AF11" s="29">
        <v>2</v>
      </c>
      <c r="AG11" s="28">
        <v>500000</v>
      </c>
      <c r="AH11" s="30">
        <f t="shared" si="9"/>
        <v>0</v>
      </c>
    </row>
    <row r="12" spans="2:34" x14ac:dyDescent="0.25">
      <c r="B12" s="4">
        <f t="shared" si="6"/>
        <v>9</v>
      </c>
      <c r="C12" s="1" t="s">
        <v>17</v>
      </c>
      <c r="G12" s="1" t="s">
        <v>15</v>
      </c>
      <c r="H12" s="1" t="s">
        <v>24</v>
      </c>
      <c r="I12" s="1">
        <v>4950000</v>
      </c>
      <c r="J12" s="1">
        <f t="shared" si="0"/>
        <v>3960000</v>
      </c>
      <c r="K12" s="1">
        <f t="shared" si="1"/>
        <v>396000</v>
      </c>
      <c r="L12" s="1">
        <f t="shared" si="2"/>
        <v>4356000</v>
      </c>
      <c r="O12" s="41"/>
      <c r="P12" s="36" t="s">
        <v>55</v>
      </c>
      <c r="Q12" s="29">
        <v>0</v>
      </c>
      <c r="R12" s="29">
        <v>1</v>
      </c>
      <c r="S12" s="28">
        <v>500000</v>
      </c>
      <c r="T12" s="30">
        <f t="shared" si="7"/>
        <v>0</v>
      </c>
      <c r="V12" s="41"/>
      <c r="W12" s="36" t="s">
        <v>55</v>
      </c>
      <c r="X12" s="29">
        <v>0</v>
      </c>
      <c r="Y12" s="29">
        <v>1</v>
      </c>
      <c r="Z12" s="28">
        <v>500000</v>
      </c>
      <c r="AA12" s="30">
        <f t="shared" si="8"/>
        <v>0</v>
      </c>
      <c r="AC12" s="41"/>
      <c r="AD12" s="36" t="s">
        <v>55</v>
      </c>
      <c r="AE12" s="29">
        <v>0</v>
      </c>
      <c r="AF12" s="29">
        <v>1</v>
      </c>
      <c r="AG12" s="28">
        <v>500000</v>
      </c>
      <c r="AH12" s="30">
        <f t="shared" si="9"/>
        <v>0</v>
      </c>
    </row>
    <row r="13" spans="2:34" x14ac:dyDescent="0.25">
      <c r="B13" s="4">
        <f t="shared" si="6"/>
        <v>10</v>
      </c>
      <c r="C13" s="1" t="s">
        <v>17</v>
      </c>
      <c r="G13" s="1" t="s">
        <v>15</v>
      </c>
      <c r="H13" s="1" t="s">
        <v>24</v>
      </c>
      <c r="I13" s="1">
        <v>4950000</v>
      </c>
      <c r="J13" s="1">
        <f t="shared" si="0"/>
        <v>3960000</v>
      </c>
      <c r="K13" s="1">
        <f t="shared" si="1"/>
        <v>396000</v>
      </c>
      <c r="L13" s="1">
        <f t="shared" si="2"/>
        <v>4356000</v>
      </c>
      <c r="O13" s="34"/>
      <c r="P13" s="36" t="s">
        <v>41</v>
      </c>
      <c r="Q13" s="29">
        <v>1</v>
      </c>
      <c r="R13" s="29">
        <v>4</v>
      </c>
      <c r="S13" s="28">
        <v>150000</v>
      </c>
      <c r="T13" s="30">
        <f t="shared" si="7"/>
        <v>600000</v>
      </c>
      <c r="V13" s="34"/>
      <c r="W13" s="36" t="s">
        <v>41</v>
      </c>
      <c r="X13" s="29">
        <v>1</v>
      </c>
      <c r="Y13" s="29">
        <v>2</v>
      </c>
      <c r="Z13" s="28">
        <v>150000</v>
      </c>
      <c r="AA13" s="30">
        <f t="shared" si="8"/>
        <v>300000</v>
      </c>
      <c r="AC13" s="34"/>
      <c r="AD13" s="36" t="s">
        <v>41</v>
      </c>
      <c r="AE13" s="29">
        <v>1</v>
      </c>
      <c r="AF13" s="29">
        <v>3</v>
      </c>
      <c r="AG13" s="28">
        <v>150000</v>
      </c>
      <c r="AH13" s="30">
        <f t="shared" si="9"/>
        <v>450000</v>
      </c>
    </row>
    <row r="14" spans="2:34" x14ac:dyDescent="0.25">
      <c r="B14" s="4">
        <f t="shared" si="6"/>
        <v>11</v>
      </c>
      <c r="C14" s="1" t="s">
        <v>17</v>
      </c>
      <c r="G14" s="1" t="s">
        <v>15</v>
      </c>
      <c r="H14" s="1" t="s">
        <v>24</v>
      </c>
      <c r="I14" s="1">
        <v>4950000</v>
      </c>
      <c r="J14" s="1">
        <f t="shared" si="0"/>
        <v>3960000</v>
      </c>
      <c r="K14" s="1">
        <f t="shared" si="1"/>
        <v>396000</v>
      </c>
      <c r="L14" s="1">
        <f t="shared" si="2"/>
        <v>4356000</v>
      </c>
      <c r="O14" s="34"/>
      <c r="P14" s="36" t="s">
        <v>43</v>
      </c>
      <c r="Q14" s="29">
        <v>1</v>
      </c>
      <c r="R14" s="29">
        <v>4</v>
      </c>
      <c r="S14" s="28">
        <v>25000</v>
      </c>
      <c r="T14" s="30">
        <f t="shared" si="7"/>
        <v>100000</v>
      </c>
      <c r="V14" s="34"/>
      <c r="W14" s="36" t="s">
        <v>43</v>
      </c>
      <c r="X14" s="29">
        <v>1</v>
      </c>
      <c r="Y14" s="29">
        <v>2</v>
      </c>
      <c r="Z14" s="28">
        <v>200000</v>
      </c>
      <c r="AA14" s="30">
        <f t="shared" si="8"/>
        <v>400000</v>
      </c>
      <c r="AC14" s="34"/>
      <c r="AD14" s="36" t="s">
        <v>43</v>
      </c>
      <c r="AE14" s="29">
        <v>1</v>
      </c>
      <c r="AF14" s="29">
        <v>3</v>
      </c>
      <c r="AG14" s="28">
        <v>100000</v>
      </c>
      <c r="AH14" s="30">
        <f t="shared" si="9"/>
        <v>300000</v>
      </c>
    </row>
    <row r="15" spans="2:34" x14ac:dyDescent="0.25">
      <c r="B15" s="4">
        <f t="shared" si="6"/>
        <v>12</v>
      </c>
      <c r="C15" s="1" t="s">
        <v>17</v>
      </c>
      <c r="G15" s="1" t="s">
        <v>15</v>
      </c>
      <c r="H15" s="1" t="s">
        <v>24</v>
      </c>
      <c r="I15" s="1">
        <v>4950000</v>
      </c>
      <c r="J15" s="1">
        <f t="shared" si="0"/>
        <v>3960000</v>
      </c>
      <c r="K15" s="1">
        <f t="shared" si="1"/>
        <v>396000</v>
      </c>
      <c r="L15" s="1">
        <f t="shared" si="2"/>
        <v>4356000</v>
      </c>
      <c r="O15" s="58"/>
      <c r="P15" s="36" t="s">
        <v>56</v>
      </c>
      <c r="Q15" s="29">
        <v>0</v>
      </c>
      <c r="R15" s="29">
        <v>1</v>
      </c>
      <c r="S15" s="28">
        <v>75000</v>
      </c>
      <c r="T15" s="30">
        <f t="shared" si="7"/>
        <v>0</v>
      </c>
      <c r="V15" s="58"/>
      <c r="W15" s="36" t="s">
        <v>56</v>
      </c>
      <c r="X15" s="29">
        <v>0</v>
      </c>
      <c r="Y15" s="29">
        <v>1</v>
      </c>
      <c r="Z15" s="28">
        <v>75000</v>
      </c>
      <c r="AA15" s="30">
        <f t="shared" si="8"/>
        <v>0</v>
      </c>
      <c r="AC15" s="58"/>
      <c r="AD15" s="36" t="s">
        <v>56</v>
      </c>
      <c r="AE15" s="29">
        <v>0</v>
      </c>
      <c r="AF15" s="29">
        <v>1</v>
      </c>
      <c r="AG15" s="28">
        <v>75000</v>
      </c>
      <c r="AH15" s="30">
        <f t="shared" si="9"/>
        <v>0</v>
      </c>
    </row>
    <row r="16" spans="2:34" x14ac:dyDescent="0.25">
      <c r="B16" s="4">
        <f t="shared" si="6"/>
        <v>13</v>
      </c>
      <c r="C16" s="1" t="s">
        <v>17</v>
      </c>
      <c r="G16" s="1" t="s">
        <v>15</v>
      </c>
      <c r="H16" s="1" t="s">
        <v>24</v>
      </c>
      <c r="I16" s="1">
        <v>4950000</v>
      </c>
      <c r="J16" s="1">
        <f t="shared" si="0"/>
        <v>3960000</v>
      </c>
      <c r="K16" s="1">
        <f t="shared" si="1"/>
        <v>396000</v>
      </c>
      <c r="L16" s="1">
        <f t="shared" si="2"/>
        <v>4356000</v>
      </c>
      <c r="O16" s="41">
        <v>3</v>
      </c>
      <c r="P16" s="37" t="s">
        <v>47</v>
      </c>
      <c r="Q16" s="51"/>
      <c r="R16" s="51"/>
      <c r="S16" s="52"/>
      <c r="T16" s="53"/>
      <c r="V16" s="41">
        <v>3</v>
      </c>
      <c r="W16" s="37" t="s">
        <v>47</v>
      </c>
      <c r="X16" s="51"/>
      <c r="Y16" s="51"/>
      <c r="Z16" s="52"/>
      <c r="AA16" s="53"/>
      <c r="AC16" s="41">
        <v>3</v>
      </c>
      <c r="AD16" s="37" t="s">
        <v>47</v>
      </c>
      <c r="AE16" s="51"/>
      <c r="AF16" s="51"/>
      <c r="AG16" s="52"/>
      <c r="AH16" s="53"/>
    </row>
    <row r="17" spans="2:34" x14ac:dyDescent="0.25">
      <c r="B17" s="4">
        <f t="shared" si="6"/>
        <v>14</v>
      </c>
      <c r="C17" s="1" t="s">
        <v>17</v>
      </c>
      <c r="G17" s="1" t="s">
        <v>15</v>
      </c>
      <c r="H17" s="1" t="s">
        <v>24</v>
      </c>
      <c r="I17" s="1">
        <v>4950000</v>
      </c>
      <c r="J17" s="1">
        <f t="shared" si="0"/>
        <v>3960000</v>
      </c>
      <c r="K17" s="1">
        <f t="shared" si="1"/>
        <v>396000</v>
      </c>
      <c r="L17" s="1">
        <f t="shared" si="2"/>
        <v>4356000</v>
      </c>
      <c r="O17" s="50"/>
      <c r="P17" s="36" t="s">
        <v>48</v>
      </c>
      <c r="Q17" s="29">
        <v>2</v>
      </c>
      <c r="R17" s="29">
        <v>1</v>
      </c>
      <c r="S17" s="28">
        <v>50000</v>
      </c>
      <c r="T17" s="30">
        <f t="shared" ref="T17:T18" si="10">Q17*R17*S17</f>
        <v>100000</v>
      </c>
      <c r="V17" s="50"/>
      <c r="W17" s="36" t="s">
        <v>48</v>
      </c>
      <c r="X17" s="29">
        <v>1</v>
      </c>
      <c r="Y17" s="29">
        <v>1</v>
      </c>
      <c r="Z17" s="28">
        <v>50000</v>
      </c>
      <c r="AA17" s="30">
        <f t="shared" ref="AA17:AA18" si="11">X17*Y17*Z17</f>
        <v>50000</v>
      </c>
      <c r="AC17" s="50"/>
      <c r="AD17" s="36" t="s">
        <v>48</v>
      </c>
      <c r="AE17" s="29">
        <v>1</v>
      </c>
      <c r="AF17" s="29">
        <v>1</v>
      </c>
      <c r="AG17" s="28">
        <v>50000</v>
      </c>
      <c r="AH17" s="30">
        <f t="shared" ref="AH17:AH18" si="12">AE17*AF17*AG17</f>
        <v>50000</v>
      </c>
    </row>
    <row r="18" spans="2:34" x14ac:dyDescent="0.25">
      <c r="B18" s="4">
        <f t="shared" si="6"/>
        <v>15</v>
      </c>
      <c r="C18" s="1" t="s">
        <v>17</v>
      </c>
      <c r="G18" s="1" t="s">
        <v>15</v>
      </c>
      <c r="H18" s="1" t="s">
        <v>24</v>
      </c>
      <c r="I18" s="1">
        <v>4950000</v>
      </c>
      <c r="J18" s="1">
        <f t="shared" si="0"/>
        <v>3960000</v>
      </c>
      <c r="K18" s="1">
        <f t="shared" si="1"/>
        <v>396000</v>
      </c>
      <c r="L18" s="1">
        <f t="shared" si="2"/>
        <v>4356000</v>
      </c>
      <c r="O18" s="50"/>
      <c r="P18" s="36" t="s">
        <v>57</v>
      </c>
      <c r="Q18" s="29">
        <v>2</v>
      </c>
      <c r="R18" s="29">
        <v>1</v>
      </c>
      <c r="S18" s="28">
        <v>250000</v>
      </c>
      <c r="T18" s="30">
        <f t="shared" si="10"/>
        <v>500000</v>
      </c>
      <c r="V18" s="50"/>
      <c r="W18" s="36" t="s">
        <v>57</v>
      </c>
      <c r="X18" s="29">
        <v>1</v>
      </c>
      <c r="Y18" s="29">
        <v>1</v>
      </c>
      <c r="Z18" s="28">
        <v>250000</v>
      </c>
      <c r="AA18" s="30">
        <f t="shared" si="11"/>
        <v>250000</v>
      </c>
      <c r="AC18" s="50"/>
      <c r="AD18" s="36" t="s">
        <v>57</v>
      </c>
      <c r="AE18" s="29">
        <v>1</v>
      </c>
      <c r="AF18" s="29">
        <v>1</v>
      </c>
      <c r="AG18" s="28">
        <v>250000</v>
      </c>
      <c r="AH18" s="30">
        <f t="shared" si="12"/>
        <v>250000</v>
      </c>
    </row>
    <row r="19" spans="2:34" x14ac:dyDescent="0.25">
      <c r="B19" s="4">
        <f t="shared" si="6"/>
        <v>16</v>
      </c>
      <c r="C19" s="1" t="s">
        <v>17</v>
      </c>
      <c r="G19" s="1" t="s">
        <v>28</v>
      </c>
      <c r="H19" s="1" t="s">
        <v>24</v>
      </c>
      <c r="I19" s="1">
        <v>4950000</v>
      </c>
      <c r="J19" s="1">
        <f t="shared" si="0"/>
        <v>3960000</v>
      </c>
      <c r="K19" s="1">
        <f t="shared" si="1"/>
        <v>396000</v>
      </c>
      <c r="L19" s="1">
        <f t="shared" si="2"/>
        <v>4356000</v>
      </c>
      <c r="O19" s="35"/>
      <c r="P19" s="45"/>
      <c r="Q19" s="32"/>
      <c r="R19" s="32"/>
      <c r="S19" s="31"/>
      <c r="T19" s="33"/>
      <c r="V19" s="35"/>
      <c r="W19" s="45"/>
      <c r="X19" s="32"/>
      <c r="Y19" s="32"/>
      <c r="Z19" s="31"/>
      <c r="AA19" s="33"/>
      <c r="AC19" s="35"/>
      <c r="AD19" s="45"/>
      <c r="AE19" s="32"/>
      <c r="AF19" s="32"/>
      <c r="AG19" s="31"/>
      <c r="AH19" s="33"/>
    </row>
    <row r="20" spans="2:34" x14ac:dyDescent="0.25">
      <c r="B20" s="4">
        <f t="shared" si="6"/>
        <v>17</v>
      </c>
      <c r="C20" s="1" t="s">
        <v>17</v>
      </c>
      <c r="G20" s="1" t="s">
        <v>15</v>
      </c>
      <c r="H20" s="1" t="s">
        <v>24</v>
      </c>
      <c r="I20" s="1">
        <v>4950000</v>
      </c>
      <c r="J20" s="1">
        <f t="shared" si="0"/>
        <v>3960000</v>
      </c>
      <c r="K20" s="1">
        <f t="shared" si="1"/>
        <v>396000</v>
      </c>
      <c r="L20" s="1">
        <f t="shared" si="2"/>
        <v>4356000</v>
      </c>
      <c r="O20" s="46"/>
      <c r="P20" s="49" t="s">
        <v>45</v>
      </c>
      <c r="Q20" s="48"/>
      <c r="R20" s="48"/>
      <c r="S20" s="47"/>
      <c r="T20" s="24">
        <f>SUM(T5:T18)</f>
        <v>2900000</v>
      </c>
      <c r="V20" s="46"/>
      <c r="W20" s="49" t="s">
        <v>45</v>
      </c>
      <c r="X20" s="48"/>
      <c r="Y20" s="48"/>
      <c r="Z20" s="47"/>
      <c r="AA20" s="24">
        <f>SUM(AA5:AA18)</f>
        <v>1500000</v>
      </c>
      <c r="AC20" s="46"/>
      <c r="AD20" s="49" t="s">
        <v>45</v>
      </c>
      <c r="AE20" s="48"/>
      <c r="AF20" s="48"/>
      <c r="AG20" s="47"/>
      <c r="AH20" s="24">
        <f>SUM(AH5:AH18)</f>
        <v>2850000</v>
      </c>
    </row>
    <row r="21" spans="2:34" x14ac:dyDescent="0.25">
      <c r="B21" s="4">
        <f t="shared" si="6"/>
        <v>18</v>
      </c>
      <c r="C21" s="1" t="s">
        <v>17</v>
      </c>
      <c r="G21" s="1" t="s">
        <v>15</v>
      </c>
      <c r="H21" s="1" t="s">
        <v>24</v>
      </c>
      <c r="I21" s="1">
        <v>4950000</v>
      </c>
      <c r="J21" s="1">
        <f t="shared" si="0"/>
        <v>3960000</v>
      </c>
      <c r="K21" s="1">
        <f t="shared" si="1"/>
        <v>396000</v>
      </c>
      <c r="L21" s="1">
        <f t="shared" si="2"/>
        <v>4356000</v>
      </c>
    </row>
    <row r="22" spans="2:34" x14ac:dyDescent="0.25">
      <c r="B22" s="4">
        <f t="shared" si="6"/>
        <v>19</v>
      </c>
      <c r="O22" s="120" t="s">
        <v>106</v>
      </c>
      <c r="P22" s="121"/>
      <c r="Q22" s="121"/>
      <c r="R22" s="121"/>
      <c r="S22" s="121"/>
      <c r="T22" s="122"/>
      <c r="V22" s="120" t="s">
        <v>109</v>
      </c>
      <c r="W22" s="121"/>
      <c r="X22" s="121"/>
      <c r="Y22" s="121"/>
      <c r="Z22" s="121"/>
      <c r="AA22" s="122"/>
      <c r="AC22" s="120" t="s">
        <v>109</v>
      </c>
      <c r="AD22" s="121"/>
      <c r="AE22" s="121"/>
      <c r="AF22" s="121"/>
      <c r="AG22" s="121"/>
      <c r="AH22" s="122"/>
    </row>
    <row r="23" spans="2:34" x14ac:dyDescent="0.25">
      <c r="B23" s="4">
        <f t="shared" si="6"/>
        <v>20</v>
      </c>
      <c r="O23" s="17" t="s">
        <v>35</v>
      </c>
      <c r="P23" s="16" t="s">
        <v>36</v>
      </c>
      <c r="Q23" s="15" t="s">
        <v>44</v>
      </c>
      <c r="R23" s="15" t="s">
        <v>7</v>
      </c>
      <c r="S23" s="17" t="s">
        <v>8</v>
      </c>
      <c r="T23" s="17" t="s">
        <v>9</v>
      </c>
      <c r="V23" s="17" t="s">
        <v>35</v>
      </c>
      <c r="W23" s="16" t="s">
        <v>36</v>
      </c>
      <c r="X23" s="15" t="s">
        <v>44</v>
      </c>
      <c r="Y23" s="15" t="s">
        <v>7</v>
      </c>
      <c r="Z23" s="17" t="s">
        <v>8</v>
      </c>
      <c r="AA23" s="17" t="s">
        <v>9</v>
      </c>
      <c r="AC23" s="17" t="s">
        <v>35</v>
      </c>
      <c r="AD23" s="16" t="s">
        <v>36</v>
      </c>
      <c r="AE23" s="15" t="s">
        <v>44</v>
      </c>
      <c r="AF23" s="15" t="s">
        <v>7</v>
      </c>
      <c r="AG23" s="17" t="s">
        <v>8</v>
      </c>
      <c r="AH23" s="17" t="s">
        <v>9</v>
      </c>
    </row>
    <row r="24" spans="2:34" x14ac:dyDescent="0.25">
      <c r="B24" s="4">
        <f t="shared" si="6"/>
        <v>21</v>
      </c>
      <c r="O24" s="41">
        <v>1</v>
      </c>
      <c r="P24" s="37" t="s">
        <v>6</v>
      </c>
      <c r="Q24" s="38"/>
      <c r="R24" s="38"/>
      <c r="S24" s="39"/>
      <c r="T24" s="40"/>
      <c r="V24" s="41">
        <v>1</v>
      </c>
      <c r="W24" s="37" t="s">
        <v>6</v>
      </c>
      <c r="X24" s="38"/>
      <c r="Y24" s="38"/>
      <c r="Z24" s="39"/>
      <c r="AA24" s="40"/>
      <c r="AC24" s="41">
        <v>1</v>
      </c>
      <c r="AD24" s="37" t="s">
        <v>6</v>
      </c>
      <c r="AE24" s="38"/>
      <c r="AF24" s="38"/>
      <c r="AG24" s="39"/>
      <c r="AH24" s="40"/>
    </row>
    <row r="25" spans="2:34" x14ac:dyDescent="0.25">
      <c r="B25" s="4">
        <f t="shared" si="6"/>
        <v>22</v>
      </c>
      <c r="O25" s="34"/>
      <c r="P25" s="36" t="s">
        <v>37</v>
      </c>
      <c r="Q25" s="29">
        <v>2</v>
      </c>
      <c r="R25" s="29">
        <v>4</v>
      </c>
      <c r="S25" s="28">
        <v>200000</v>
      </c>
      <c r="T25" s="30">
        <f t="shared" ref="T25:T27" si="13">Q25*R25*S25</f>
        <v>1600000</v>
      </c>
      <c r="V25" s="34"/>
      <c r="W25" s="36" t="s">
        <v>37</v>
      </c>
      <c r="X25" s="29">
        <v>1</v>
      </c>
      <c r="Y25" s="29">
        <v>3</v>
      </c>
      <c r="Z25" s="28">
        <v>200000</v>
      </c>
      <c r="AA25" s="30">
        <f t="shared" ref="AA25:AA27" si="14">X25*Y25*Z25</f>
        <v>600000</v>
      </c>
      <c r="AC25" s="34"/>
      <c r="AD25" s="36" t="s">
        <v>37</v>
      </c>
      <c r="AE25" s="29">
        <v>1</v>
      </c>
      <c r="AF25" s="29">
        <v>3</v>
      </c>
      <c r="AG25" s="28">
        <v>200000</v>
      </c>
      <c r="AH25" s="30">
        <f t="shared" ref="AH25:AH27" si="15">AE25*AF25*AG25</f>
        <v>600000</v>
      </c>
    </row>
    <row r="26" spans="2:34" x14ac:dyDescent="0.25">
      <c r="B26" s="4">
        <f t="shared" si="6"/>
        <v>23</v>
      </c>
      <c r="G26" s="1">
        <v>7000000</v>
      </c>
      <c r="O26" s="34"/>
      <c r="P26" s="36" t="s">
        <v>38</v>
      </c>
      <c r="Q26" s="29">
        <v>1</v>
      </c>
      <c r="R26" s="29">
        <v>4</v>
      </c>
      <c r="S26" s="28">
        <v>150000</v>
      </c>
      <c r="T26" s="30">
        <f t="shared" si="13"/>
        <v>600000</v>
      </c>
      <c r="V26" s="34"/>
      <c r="W26" s="36" t="s">
        <v>38</v>
      </c>
      <c r="X26" s="29">
        <v>1</v>
      </c>
      <c r="Y26" s="29">
        <v>3</v>
      </c>
      <c r="Z26" s="28">
        <v>150000</v>
      </c>
      <c r="AA26" s="30">
        <f t="shared" si="14"/>
        <v>450000</v>
      </c>
      <c r="AC26" s="34"/>
      <c r="AD26" s="36" t="s">
        <v>38</v>
      </c>
      <c r="AE26" s="29">
        <v>1</v>
      </c>
      <c r="AF26" s="29">
        <v>3</v>
      </c>
      <c r="AG26" s="28">
        <v>150000</v>
      </c>
      <c r="AH26" s="30">
        <f t="shared" si="15"/>
        <v>450000</v>
      </c>
    </row>
    <row r="27" spans="2:34" x14ac:dyDescent="0.25">
      <c r="G27" s="1">
        <v>5000000</v>
      </c>
      <c r="I27" s="6"/>
      <c r="J27" s="6"/>
      <c r="K27" s="6"/>
      <c r="L27" s="6">
        <f>SUM(L4:L26)</f>
        <v>78408000</v>
      </c>
      <c r="M27" s="6"/>
      <c r="O27" s="34"/>
      <c r="P27" s="36" t="s">
        <v>39</v>
      </c>
      <c r="Q27" s="29">
        <v>1</v>
      </c>
      <c r="R27" s="29">
        <v>4</v>
      </c>
      <c r="S27" s="28">
        <v>50000</v>
      </c>
      <c r="T27" s="30">
        <f t="shared" si="13"/>
        <v>200000</v>
      </c>
      <c r="V27" s="34"/>
      <c r="W27" s="36" t="s">
        <v>39</v>
      </c>
      <c r="X27" s="29">
        <v>1</v>
      </c>
      <c r="Y27" s="29">
        <v>3</v>
      </c>
      <c r="Z27" s="28">
        <v>50000</v>
      </c>
      <c r="AA27" s="30">
        <f t="shared" si="14"/>
        <v>150000</v>
      </c>
      <c r="AC27" s="34"/>
      <c r="AD27" s="36" t="s">
        <v>39</v>
      </c>
      <c r="AE27" s="29">
        <v>0</v>
      </c>
      <c r="AF27" s="29">
        <v>2</v>
      </c>
      <c r="AG27" s="28">
        <v>50000</v>
      </c>
      <c r="AH27" s="30">
        <f t="shared" si="15"/>
        <v>0</v>
      </c>
    </row>
    <row r="28" spans="2:34" x14ac:dyDescent="0.25">
      <c r="G28" s="1">
        <v>5000000</v>
      </c>
      <c r="L28" s="6">
        <v>75000000</v>
      </c>
      <c r="M28" s="6"/>
      <c r="O28" s="41">
        <f>O24+1</f>
        <v>2</v>
      </c>
      <c r="P28" s="37" t="s">
        <v>40</v>
      </c>
      <c r="Q28" s="29"/>
      <c r="R28" s="29"/>
      <c r="S28" s="28"/>
      <c r="T28" s="30"/>
      <c r="V28" s="41">
        <f>V24+1</f>
        <v>2</v>
      </c>
      <c r="W28" s="37" t="s">
        <v>40</v>
      </c>
      <c r="X28" s="29"/>
      <c r="Y28" s="29"/>
      <c r="Z28" s="28"/>
      <c r="AA28" s="30"/>
      <c r="AC28" s="41">
        <f>AC24+1</f>
        <v>2</v>
      </c>
      <c r="AD28" s="37" t="s">
        <v>40</v>
      </c>
      <c r="AE28" s="29"/>
      <c r="AF28" s="29"/>
      <c r="AG28" s="28"/>
      <c r="AH28" s="30"/>
    </row>
    <row r="29" spans="2:34" x14ac:dyDescent="0.25">
      <c r="G29" s="1">
        <f>SUM(G26:G28)</f>
        <v>17000000</v>
      </c>
      <c r="I29" s="6"/>
      <c r="J29" s="6"/>
      <c r="K29" s="6"/>
      <c r="L29" s="6">
        <f>L28/1.1</f>
        <v>68181818.181818172</v>
      </c>
      <c r="M29" s="6"/>
      <c r="O29" s="41"/>
      <c r="P29" s="36" t="s">
        <v>54</v>
      </c>
      <c r="Q29" s="29">
        <v>0</v>
      </c>
      <c r="R29" s="29">
        <v>1</v>
      </c>
      <c r="S29" s="28">
        <v>400000</v>
      </c>
      <c r="T29" s="30">
        <f t="shared" ref="T29:T35" si="16">Q29*R29*S29</f>
        <v>0</v>
      </c>
      <c r="V29" s="41"/>
      <c r="W29" s="36" t="s">
        <v>54</v>
      </c>
      <c r="X29" s="29">
        <v>0</v>
      </c>
      <c r="Y29" s="29">
        <v>1</v>
      </c>
      <c r="Z29" s="28">
        <v>400000</v>
      </c>
      <c r="AA29" s="30">
        <f t="shared" ref="AA29:AA35" si="17">X29*Y29*Z29</f>
        <v>0</v>
      </c>
      <c r="AC29" s="41"/>
      <c r="AD29" s="36" t="s">
        <v>54</v>
      </c>
      <c r="AE29" s="29">
        <v>0</v>
      </c>
      <c r="AF29" s="29">
        <v>1</v>
      </c>
      <c r="AG29" s="28">
        <v>400000</v>
      </c>
      <c r="AH29" s="30">
        <f t="shared" ref="AH29:AH35" si="18">AE29*AF29*AG29</f>
        <v>0</v>
      </c>
    </row>
    <row r="30" spans="2:34" x14ac:dyDescent="0.25">
      <c r="G30" s="1">
        <f>G29*1.1</f>
        <v>18700000</v>
      </c>
      <c r="O30" s="41"/>
      <c r="P30" s="36" t="s">
        <v>58</v>
      </c>
      <c r="Q30" s="29">
        <v>0</v>
      </c>
      <c r="R30" s="29">
        <v>2</v>
      </c>
      <c r="S30" s="66">
        <v>789600</v>
      </c>
      <c r="T30" s="30">
        <f t="shared" si="16"/>
        <v>0</v>
      </c>
      <c r="V30" s="41"/>
      <c r="W30" s="36" t="s">
        <v>58</v>
      </c>
      <c r="X30" s="29">
        <v>0</v>
      </c>
      <c r="Y30" s="29">
        <v>2</v>
      </c>
      <c r="Z30" s="66">
        <v>789600</v>
      </c>
      <c r="AA30" s="30">
        <f t="shared" si="17"/>
        <v>0</v>
      </c>
      <c r="AC30" s="41"/>
      <c r="AD30" s="36" t="s">
        <v>58</v>
      </c>
      <c r="AE30" s="29">
        <v>0</v>
      </c>
      <c r="AF30" s="29">
        <v>2</v>
      </c>
      <c r="AG30" s="66">
        <v>789600</v>
      </c>
      <c r="AH30" s="30">
        <f t="shared" si="18"/>
        <v>0</v>
      </c>
    </row>
    <row r="31" spans="2:34" x14ac:dyDescent="0.25">
      <c r="O31" s="41"/>
      <c r="P31" s="36" t="s">
        <v>59</v>
      </c>
      <c r="Q31" s="29">
        <v>0</v>
      </c>
      <c r="R31" s="29">
        <v>2</v>
      </c>
      <c r="S31" s="28">
        <v>500000</v>
      </c>
      <c r="T31" s="30">
        <f t="shared" si="16"/>
        <v>0</v>
      </c>
      <c r="V31" s="41"/>
      <c r="W31" s="36" t="s">
        <v>59</v>
      </c>
      <c r="X31" s="29">
        <v>1</v>
      </c>
      <c r="Y31" s="29">
        <v>2</v>
      </c>
      <c r="Z31" s="28">
        <v>500000</v>
      </c>
      <c r="AA31" s="30">
        <f t="shared" si="17"/>
        <v>1000000</v>
      </c>
      <c r="AC31" s="41"/>
      <c r="AD31" s="36" t="s">
        <v>59</v>
      </c>
      <c r="AE31" s="29">
        <v>1</v>
      </c>
      <c r="AF31" s="29">
        <v>2</v>
      </c>
      <c r="AG31" s="28">
        <v>500000</v>
      </c>
      <c r="AH31" s="30">
        <f t="shared" si="18"/>
        <v>1000000</v>
      </c>
    </row>
    <row r="32" spans="2:34" x14ac:dyDescent="0.25">
      <c r="O32" s="41"/>
      <c r="P32" s="36" t="s">
        <v>55</v>
      </c>
      <c r="Q32" s="29">
        <v>0</v>
      </c>
      <c r="R32" s="29">
        <v>1</v>
      </c>
      <c r="S32" s="28">
        <v>500000</v>
      </c>
      <c r="T32" s="30">
        <f t="shared" si="16"/>
        <v>0</v>
      </c>
      <c r="V32" s="41"/>
      <c r="W32" s="36" t="s">
        <v>55</v>
      </c>
      <c r="X32" s="29">
        <v>0</v>
      </c>
      <c r="Y32" s="29">
        <v>1</v>
      </c>
      <c r="Z32" s="28">
        <v>500000</v>
      </c>
      <c r="AA32" s="30">
        <f t="shared" si="17"/>
        <v>0</v>
      </c>
      <c r="AC32" s="41"/>
      <c r="AD32" s="36" t="s">
        <v>55</v>
      </c>
      <c r="AE32" s="29">
        <v>0</v>
      </c>
      <c r="AF32" s="29">
        <v>1</v>
      </c>
      <c r="AG32" s="28">
        <v>500000</v>
      </c>
      <c r="AH32" s="30">
        <f t="shared" si="18"/>
        <v>0</v>
      </c>
    </row>
    <row r="33" spans="2:34" x14ac:dyDescent="0.25">
      <c r="O33" s="34"/>
      <c r="P33" s="36" t="s">
        <v>41</v>
      </c>
      <c r="Q33" s="29">
        <v>1</v>
      </c>
      <c r="R33" s="29">
        <v>4</v>
      </c>
      <c r="S33" s="28">
        <v>150000</v>
      </c>
      <c r="T33" s="30">
        <f t="shared" si="16"/>
        <v>600000</v>
      </c>
      <c r="V33" s="34"/>
      <c r="W33" s="36" t="s">
        <v>41</v>
      </c>
      <c r="X33" s="29">
        <v>1</v>
      </c>
      <c r="Y33" s="29">
        <v>3</v>
      </c>
      <c r="Z33" s="28">
        <v>200000</v>
      </c>
      <c r="AA33" s="30">
        <f t="shared" si="17"/>
        <v>600000</v>
      </c>
      <c r="AC33" s="34"/>
      <c r="AD33" s="36" t="s">
        <v>41</v>
      </c>
      <c r="AE33" s="29">
        <v>1</v>
      </c>
      <c r="AF33" s="29">
        <v>3</v>
      </c>
      <c r="AG33" s="28">
        <v>200000</v>
      </c>
      <c r="AH33" s="30">
        <f t="shared" si="18"/>
        <v>600000</v>
      </c>
    </row>
    <row r="34" spans="2:34" x14ac:dyDescent="0.25">
      <c r="O34" s="34"/>
      <c r="P34" s="36" t="s">
        <v>43</v>
      </c>
      <c r="Q34" s="29">
        <v>1</v>
      </c>
      <c r="R34" s="29">
        <v>4</v>
      </c>
      <c r="S34" s="28">
        <v>25000</v>
      </c>
      <c r="T34" s="30">
        <f t="shared" si="16"/>
        <v>100000</v>
      </c>
      <c r="V34" s="34"/>
      <c r="W34" s="36" t="s">
        <v>43</v>
      </c>
      <c r="X34" s="29">
        <v>1</v>
      </c>
      <c r="Y34" s="29">
        <v>3</v>
      </c>
      <c r="Z34" s="28">
        <v>150000</v>
      </c>
      <c r="AA34" s="30">
        <f t="shared" si="17"/>
        <v>450000</v>
      </c>
      <c r="AC34" s="34"/>
      <c r="AD34" s="36" t="s">
        <v>43</v>
      </c>
      <c r="AE34" s="29">
        <v>1</v>
      </c>
      <c r="AF34" s="29">
        <v>3</v>
      </c>
      <c r="AG34" s="28">
        <v>150000</v>
      </c>
      <c r="AH34" s="30">
        <f t="shared" si="18"/>
        <v>450000</v>
      </c>
    </row>
    <row r="35" spans="2:34" x14ac:dyDescent="0.25">
      <c r="O35" s="58"/>
      <c r="P35" s="36" t="s">
        <v>56</v>
      </c>
      <c r="Q35" s="29">
        <v>0</v>
      </c>
      <c r="R35" s="29">
        <v>1</v>
      </c>
      <c r="S35" s="28">
        <v>75000</v>
      </c>
      <c r="T35" s="30">
        <f t="shared" si="16"/>
        <v>0</v>
      </c>
      <c r="V35" s="58"/>
      <c r="W35" s="36" t="s">
        <v>56</v>
      </c>
      <c r="X35" s="29">
        <v>0</v>
      </c>
      <c r="Y35" s="29">
        <v>1</v>
      </c>
      <c r="Z35" s="28">
        <v>75000</v>
      </c>
      <c r="AA35" s="30">
        <f t="shared" si="17"/>
        <v>0</v>
      </c>
      <c r="AC35" s="58"/>
      <c r="AD35" s="36" t="s">
        <v>56</v>
      </c>
      <c r="AE35" s="29">
        <v>0</v>
      </c>
      <c r="AF35" s="29">
        <v>1</v>
      </c>
      <c r="AG35" s="28">
        <v>75000</v>
      </c>
      <c r="AH35" s="30">
        <f t="shared" si="18"/>
        <v>0</v>
      </c>
    </row>
    <row r="36" spans="2:34" x14ac:dyDescent="0.25">
      <c r="O36" s="41">
        <v>3</v>
      </c>
      <c r="P36" s="37" t="s">
        <v>47</v>
      </c>
      <c r="Q36" s="51"/>
      <c r="R36" s="51"/>
      <c r="S36" s="52"/>
      <c r="T36" s="53"/>
      <c r="V36" s="41">
        <v>3</v>
      </c>
      <c r="W36" s="37" t="s">
        <v>47</v>
      </c>
      <c r="X36" s="51"/>
      <c r="Y36" s="51"/>
      <c r="Z36" s="52"/>
      <c r="AA36" s="53"/>
      <c r="AC36" s="41">
        <v>3</v>
      </c>
      <c r="AD36" s="37" t="s">
        <v>47</v>
      </c>
      <c r="AE36" s="51"/>
      <c r="AF36" s="51"/>
      <c r="AG36" s="52"/>
      <c r="AH36" s="53"/>
    </row>
    <row r="37" spans="2:34" x14ac:dyDescent="0.25">
      <c r="O37" s="50"/>
      <c r="P37" s="36" t="s">
        <v>48</v>
      </c>
      <c r="Q37" s="29">
        <v>2</v>
      </c>
      <c r="R37" s="29">
        <v>1</v>
      </c>
      <c r="S37" s="28">
        <v>50000</v>
      </c>
      <c r="T37" s="30">
        <f t="shared" ref="T37:T38" si="19">Q37*R37*S37</f>
        <v>100000</v>
      </c>
      <c r="V37" s="50"/>
      <c r="W37" s="36" t="s">
        <v>48</v>
      </c>
      <c r="X37" s="29">
        <v>1</v>
      </c>
      <c r="Y37" s="29">
        <v>1</v>
      </c>
      <c r="Z37" s="28">
        <v>50000</v>
      </c>
      <c r="AA37" s="30">
        <f t="shared" ref="AA37:AA38" si="20">X37*Y37*Z37</f>
        <v>50000</v>
      </c>
      <c r="AC37" s="50"/>
      <c r="AD37" s="36" t="s">
        <v>48</v>
      </c>
      <c r="AE37" s="29">
        <v>1</v>
      </c>
      <c r="AF37" s="29">
        <v>1</v>
      </c>
      <c r="AG37" s="28">
        <v>50000</v>
      </c>
      <c r="AH37" s="30">
        <f t="shared" ref="AH37:AH38" si="21">AE37*AF37*AG37</f>
        <v>50000</v>
      </c>
    </row>
    <row r="38" spans="2:34" x14ac:dyDescent="0.25">
      <c r="O38" s="50"/>
      <c r="P38" s="36" t="s">
        <v>57</v>
      </c>
      <c r="Q38" s="29">
        <v>2</v>
      </c>
      <c r="R38" s="29">
        <v>1</v>
      </c>
      <c r="S38" s="28">
        <v>250000</v>
      </c>
      <c r="T38" s="30">
        <f t="shared" si="19"/>
        <v>500000</v>
      </c>
      <c r="V38" s="50"/>
      <c r="W38" s="36" t="s">
        <v>57</v>
      </c>
      <c r="X38" s="29">
        <v>1</v>
      </c>
      <c r="Y38" s="29">
        <v>1</v>
      </c>
      <c r="Z38" s="28">
        <v>250000</v>
      </c>
      <c r="AA38" s="30">
        <f t="shared" si="20"/>
        <v>250000</v>
      </c>
      <c r="AC38" s="50"/>
      <c r="AD38" s="36" t="s">
        <v>57</v>
      </c>
      <c r="AE38" s="29">
        <v>1</v>
      </c>
      <c r="AF38" s="29">
        <v>1</v>
      </c>
      <c r="AG38" s="28">
        <v>250000</v>
      </c>
      <c r="AH38" s="30">
        <f t="shared" si="21"/>
        <v>250000</v>
      </c>
    </row>
    <row r="39" spans="2:34" x14ac:dyDescent="0.25">
      <c r="O39" s="35"/>
      <c r="P39" s="45"/>
      <c r="Q39" s="32"/>
      <c r="R39" s="32"/>
      <c r="S39" s="31"/>
      <c r="T39" s="33"/>
      <c r="V39" s="35"/>
      <c r="W39" s="45"/>
      <c r="X39" s="32"/>
      <c r="Y39" s="32"/>
      <c r="Z39" s="31"/>
      <c r="AA39" s="33"/>
      <c r="AC39" s="35"/>
      <c r="AD39" s="45"/>
      <c r="AE39" s="32"/>
      <c r="AF39" s="32"/>
      <c r="AG39" s="31"/>
      <c r="AH39" s="33"/>
    </row>
    <row r="40" spans="2:34" x14ac:dyDescent="0.25">
      <c r="O40" s="46"/>
      <c r="P40" s="49" t="s">
        <v>45</v>
      </c>
      <c r="Q40" s="48"/>
      <c r="R40" s="48"/>
      <c r="S40" s="47"/>
      <c r="T40" s="24">
        <f>SUM(T25:T38)</f>
        <v>3700000</v>
      </c>
      <c r="V40" s="46"/>
      <c r="W40" s="49" t="s">
        <v>45</v>
      </c>
      <c r="X40" s="48"/>
      <c r="Y40" s="48"/>
      <c r="Z40" s="47"/>
      <c r="AA40" s="24">
        <f>SUM(AA25:AA38)</f>
        <v>3550000</v>
      </c>
      <c r="AC40" s="46"/>
      <c r="AD40" s="49" t="s">
        <v>45</v>
      </c>
      <c r="AE40" s="48"/>
      <c r="AF40" s="48"/>
      <c r="AG40" s="47"/>
      <c r="AH40" s="24">
        <f>SUM(AH25:AH38)</f>
        <v>3400000</v>
      </c>
    </row>
    <row r="41" spans="2:34" x14ac:dyDescent="0.25">
      <c r="B41" s="4" t="e">
        <f>#REF!+1</f>
        <v>#REF!</v>
      </c>
      <c r="C41" s="1" t="s">
        <v>17</v>
      </c>
      <c r="G41" s="1" t="s">
        <v>15</v>
      </c>
      <c r="H41" s="1" t="s">
        <v>24</v>
      </c>
      <c r="I41" s="1">
        <v>4950000</v>
      </c>
      <c r="J41" s="1">
        <f t="shared" ref="J41" si="22">I41*(1-$J$2)</f>
        <v>3960000</v>
      </c>
      <c r="K41" s="1">
        <f t="shared" ref="K41" si="23">J41*K$2</f>
        <v>396000</v>
      </c>
      <c r="L41" s="1">
        <f t="shared" ref="L41" si="24">J41+K41</f>
        <v>4356000</v>
      </c>
    </row>
    <row r="42" spans="2:34" x14ac:dyDescent="0.25">
      <c r="B42" s="4" t="e">
        <f t="shared" ref="B42:B46" si="25">B41+1</f>
        <v>#REF!</v>
      </c>
      <c r="O42" s="120" t="s">
        <v>110</v>
      </c>
      <c r="P42" s="121"/>
      <c r="Q42" s="121"/>
      <c r="R42" s="121"/>
      <c r="S42" s="121"/>
      <c r="T42" s="122"/>
      <c r="V42" s="120" t="s">
        <v>111</v>
      </c>
      <c r="W42" s="121"/>
      <c r="X42" s="121"/>
      <c r="Y42" s="121"/>
      <c r="Z42" s="121"/>
      <c r="AA42" s="122"/>
      <c r="AC42" s="120" t="s">
        <v>112</v>
      </c>
      <c r="AD42" s="121"/>
      <c r="AE42" s="121"/>
      <c r="AF42" s="121"/>
      <c r="AG42" s="121"/>
      <c r="AH42" s="122"/>
    </row>
    <row r="43" spans="2:34" x14ac:dyDescent="0.25">
      <c r="B43" s="4" t="e">
        <f t="shared" si="25"/>
        <v>#REF!</v>
      </c>
      <c r="O43" s="17" t="s">
        <v>35</v>
      </c>
      <c r="P43" s="16" t="s">
        <v>36</v>
      </c>
      <c r="Q43" s="15" t="s">
        <v>44</v>
      </c>
      <c r="R43" s="15" t="s">
        <v>7</v>
      </c>
      <c r="S43" s="17" t="s">
        <v>8</v>
      </c>
      <c r="T43" s="17" t="s">
        <v>9</v>
      </c>
      <c r="V43" s="17" t="s">
        <v>35</v>
      </c>
      <c r="W43" s="16" t="s">
        <v>36</v>
      </c>
      <c r="X43" s="15" t="s">
        <v>44</v>
      </c>
      <c r="Y43" s="15" t="s">
        <v>7</v>
      </c>
      <c r="Z43" s="17" t="s">
        <v>8</v>
      </c>
      <c r="AA43" s="17" t="s">
        <v>9</v>
      </c>
      <c r="AC43" s="17" t="s">
        <v>35</v>
      </c>
      <c r="AD43" s="16" t="s">
        <v>36</v>
      </c>
      <c r="AE43" s="15" t="s">
        <v>44</v>
      </c>
      <c r="AF43" s="15" t="s">
        <v>7</v>
      </c>
      <c r="AG43" s="17" t="s">
        <v>8</v>
      </c>
      <c r="AH43" s="17" t="s">
        <v>9</v>
      </c>
    </row>
    <row r="44" spans="2:34" x14ac:dyDescent="0.25">
      <c r="B44" s="4" t="e">
        <f t="shared" si="25"/>
        <v>#REF!</v>
      </c>
      <c r="O44" s="41">
        <v>1</v>
      </c>
      <c r="P44" s="37" t="s">
        <v>6</v>
      </c>
      <c r="Q44" s="38"/>
      <c r="R44" s="38"/>
      <c r="S44" s="39"/>
      <c r="T44" s="40"/>
      <c r="V44" s="41">
        <v>1</v>
      </c>
      <c r="W44" s="37" t="s">
        <v>6</v>
      </c>
      <c r="X44" s="38"/>
      <c r="Y44" s="38"/>
      <c r="Z44" s="39"/>
      <c r="AA44" s="40"/>
      <c r="AC44" s="41">
        <v>1</v>
      </c>
      <c r="AD44" s="37" t="s">
        <v>6</v>
      </c>
      <c r="AE44" s="38"/>
      <c r="AF44" s="38"/>
      <c r="AG44" s="39"/>
      <c r="AH44" s="40"/>
    </row>
    <row r="45" spans="2:34" x14ac:dyDescent="0.25">
      <c r="B45" s="4" t="e">
        <f t="shared" si="25"/>
        <v>#REF!</v>
      </c>
      <c r="O45" s="34"/>
      <c r="P45" s="36" t="s">
        <v>37</v>
      </c>
      <c r="Q45" s="29">
        <v>1</v>
      </c>
      <c r="R45" s="29">
        <v>4</v>
      </c>
      <c r="S45" s="28">
        <v>200000</v>
      </c>
      <c r="T45" s="30">
        <f t="shared" ref="T45:T47" si="26">Q45*R45*S45</f>
        <v>800000</v>
      </c>
      <c r="V45" s="34"/>
      <c r="W45" s="36" t="s">
        <v>37</v>
      </c>
      <c r="X45" s="29">
        <v>1</v>
      </c>
      <c r="Y45" s="29">
        <v>4</v>
      </c>
      <c r="Z45" s="28">
        <v>200000</v>
      </c>
      <c r="AA45" s="30">
        <f t="shared" ref="AA45:AA47" si="27">X45*Y45*Z45</f>
        <v>800000</v>
      </c>
      <c r="AC45" s="34"/>
      <c r="AD45" s="36" t="s">
        <v>37</v>
      </c>
      <c r="AE45" s="29">
        <v>2</v>
      </c>
      <c r="AF45" s="29">
        <v>4</v>
      </c>
      <c r="AG45" s="28">
        <v>200000</v>
      </c>
      <c r="AH45" s="30">
        <f t="shared" ref="AH45:AH47" si="28">AE45*AF45*AG45</f>
        <v>1600000</v>
      </c>
    </row>
    <row r="46" spans="2:34" x14ac:dyDescent="0.25">
      <c r="B46" s="4" t="e">
        <f t="shared" si="25"/>
        <v>#REF!</v>
      </c>
      <c r="G46" s="1">
        <v>7000000</v>
      </c>
      <c r="O46" s="34"/>
      <c r="P46" s="36" t="s">
        <v>38</v>
      </c>
      <c r="Q46" s="29">
        <v>1</v>
      </c>
      <c r="R46" s="29">
        <v>4</v>
      </c>
      <c r="S46" s="28">
        <v>150000</v>
      </c>
      <c r="T46" s="30">
        <f t="shared" si="26"/>
        <v>600000</v>
      </c>
      <c r="V46" s="34"/>
      <c r="W46" s="36" t="s">
        <v>38</v>
      </c>
      <c r="X46" s="29">
        <v>2</v>
      </c>
      <c r="Y46" s="29">
        <v>4</v>
      </c>
      <c r="Z46" s="28">
        <v>150000</v>
      </c>
      <c r="AA46" s="30">
        <f t="shared" si="27"/>
        <v>1200000</v>
      </c>
      <c r="AC46" s="34"/>
      <c r="AD46" s="36" t="s">
        <v>38</v>
      </c>
      <c r="AE46" s="29">
        <v>2</v>
      </c>
      <c r="AF46" s="29">
        <v>4</v>
      </c>
      <c r="AG46" s="28">
        <v>150000</v>
      </c>
      <c r="AH46" s="30">
        <f t="shared" si="28"/>
        <v>1200000</v>
      </c>
    </row>
    <row r="47" spans="2:34" x14ac:dyDescent="0.25">
      <c r="G47" s="1">
        <v>5000000</v>
      </c>
      <c r="I47" s="6"/>
      <c r="J47" s="6"/>
      <c r="K47" s="6"/>
      <c r="L47" s="6">
        <f>SUM(L25:L46)</f>
        <v>225945818.18181819</v>
      </c>
      <c r="M47" s="6"/>
      <c r="O47" s="34"/>
      <c r="P47" s="36" t="s">
        <v>39</v>
      </c>
      <c r="Q47" s="29">
        <v>1</v>
      </c>
      <c r="R47" s="29">
        <v>4</v>
      </c>
      <c r="S47" s="28">
        <v>100000</v>
      </c>
      <c r="T47" s="30">
        <f t="shared" si="26"/>
        <v>400000</v>
      </c>
      <c r="V47" s="34"/>
      <c r="W47" s="36" t="s">
        <v>39</v>
      </c>
      <c r="X47" s="29">
        <v>0</v>
      </c>
      <c r="Y47" s="29">
        <v>3</v>
      </c>
      <c r="Z47" s="28">
        <v>100000</v>
      </c>
      <c r="AA47" s="30">
        <f t="shared" si="27"/>
        <v>0</v>
      </c>
      <c r="AC47" s="34"/>
      <c r="AD47" s="36" t="s">
        <v>39</v>
      </c>
      <c r="AE47" s="29">
        <v>0</v>
      </c>
      <c r="AF47" s="29">
        <v>2</v>
      </c>
      <c r="AG47" s="28">
        <v>50000</v>
      </c>
      <c r="AH47" s="30">
        <f t="shared" si="28"/>
        <v>0</v>
      </c>
    </row>
    <row r="48" spans="2:34" x14ac:dyDescent="0.25">
      <c r="G48" s="1">
        <v>5000000</v>
      </c>
      <c r="L48" s="6">
        <v>75000000</v>
      </c>
      <c r="M48" s="6"/>
      <c r="O48" s="41">
        <f>O44+1</f>
        <v>2</v>
      </c>
      <c r="P48" s="37" t="s">
        <v>40</v>
      </c>
      <c r="Q48" s="29"/>
      <c r="R48" s="29"/>
      <c r="S48" s="28"/>
      <c r="T48" s="30"/>
      <c r="V48" s="41">
        <f>V44+1</f>
        <v>2</v>
      </c>
      <c r="W48" s="37" t="s">
        <v>40</v>
      </c>
      <c r="X48" s="29"/>
      <c r="Y48" s="29"/>
      <c r="Z48" s="28"/>
      <c r="AA48" s="30"/>
      <c r="AC48" s="41">
        <f>AC44+1</f>
        <v>2</v>
      </c>
      <c r="AD48" s="37" t="s">
        <v>40</v>
      </c>
      <c r="AE48" s="29"/>
      <c r="AF48" s="29"/>
      <c r="AG48" s="28"/>
      <c r="AH48" s="30"/>
    </row>
    <row r="49" spans="2:34" x14ac:dyDescent="0.25">
      <c r="G49" s="1">
        <f>SUM(G46:G48)</f>
        <v>17000000</v>
      </c>
      <c r="I49" s="6"/>
      <c r="J49" s="6"/>
      <c r="K49" s="6"/>
      <c r="L49" s="6">
        <f>L48/1.1</f>
        <v>68181818.181818172</v>
      </c>
      <c r="M49" s="6"/>
      <c r="O49" s="41"/>
      <c r="P49" s="36" t="s">
        <v>54</v>
      </c>
      <c r="Q49" s="29">
        <v>0</v>
      </c>
      <c r="R49" s="29">
        <v>1</v>
      </c>
      <c r="S49" s="28">
        <v>400000</v>
      </c>
      <c r="T49" s="30">
        <f t="shared" ref="T49:T55" si="29">Q49*R49*S49</f>
        <v>0</v>
      </c>
      <c r="V49" s="41"/>
      <c r="W49" s="36" t="s">
        <v>54</v>
      </c>
      <c r="X49" s="29">
        <v>3</v>
      </c>
      <c r="Y49" s="29">
        <v>1</v>
      </c>
      <c r="Z49" s="28">
        <v>400000</v>
      </c>
      <c r="AA49" s="30">
        <f t="shared" ref="AA49:AA55" si="30">X49*Y49*Z49</f>
        <v>1200000</v>
      </c>
      <c r="AC49" s="41"/>
      <c r="AD49" s="36" t="s">
        <v>54</v>
      </c>
      <c r="AE49" s="29">
        <v>4</v>
      </c>
      <c r="AF49" s="29">
        <v>1</v>
      </c>
      <c r="AG49" s="28">
        <v>400000</v>
      </c>
      <c r="AH49" s="30">
        <f t="shared" ref="AH49:AH55" si="31">AE49*AF49*AG49</f>
        <v>1600000</v>
      </c>
    </row>
    <row r="50" spans="2:34" x14ac:dyDescent="0.25">
      <c r="G50" s="1">
        <f>G49*1.1</f>
        <v>18700000</v>
      </c>
      <c r="O50" s="41"/>
      <c r="P50" s="36" t="s">
        <v>58</v>
      </c>
      <c r="Q50" s="29">
        <v>0</v>
      </c>
      <c r="R50" s="29">
        <v>2</v>
      </c>
      <c r="S50" s="66">
        <v>789600</v>
      </c>
      <c r="T50" s="30">
        <f t="shared" si="29"/>
        <v>0</v>
      </c>
      <c r="V50" s="41"/>
      <c r="W50" s="36" t="s">
        <v>58</v>
      </c>
      <c r="X50" s="29">
        <v>3</v>
      </c>
      <c r="Y50" s="29">
        <v>2</v>
      </c>
      <c r="Z50" s="66">
        <v>500000</v>
      </c>
      <c r="AA50" s="30">
        <f t="shared" si="30"/>
        <v>3000000</v>
      </c>
      <c r="AC50" s="41"/>
      <c r="AD50" s="36" t="s">
        <v>58</v>
      </c>
      <c r="AE50" s="29">
        <v>4</v>
      </c>
      <c r="AF50" s="29">
        <v>2</v>
      </c>
      <c r="AG50" s="66">
        <v>539900</v>
      </c>
      <c r="AH50" s="30">
        <f t="shared" si="31"/>
        <v>4319200</v>
      </c>
    </row>
    <row r="51" spans="2:34" x14ac:dyDescent="0.25">
      <c r="O51" s="41"/>
      <c r="P51" s="36" t="s">
        <v>59</v>
      </c>
      <c r="Q51" s="29">
        <v>0</v>
      </c>
      <c r="R51" s="29">
        <v>2</v>
      </c>
      <c r="S51" s="28">
        <v>500000</v>
      </c>
      <c r="T51" s="30">
        <f t="shared" si="29"/>
        <v>0</v>
      </c>
      <c r="V51" s="41"/>
      <c r="W51" s="36" t="s">
        <v>59</v>
      </c>
      <c r="X51" s="29">
        <v>1</v>
      </c>
      <c r="Y51" s="29">
        <v>4</v>
      </c>
      <c r="Z51" s="28">
        <v>500000</v>
      </c>
      <c r="AA51" s="30">
        <f t="shared" si="30"/>
        <v>2000000</v>
      </c>
      <c r="AC51" s="41"/>
      <c r="AD51" s="36" t="s">
        <v>59</v>
      </c>
      <c r="AE51" s="29">
        <v>2</v>
      </c>
      <c r="AF51" s="29">
        <v>4</v>
      </c>
      <c r="AG51" s="28">
        <v>500000</v>
      </c>
      <c r="AH51" s="30">
        <f t="shared" si="31"/>
        <v>4000000</v>
      </c>
    </row>
    <row r="52" spans="2:34" x14ac:dyDescent="0.25">
      <c r="O52" s="41"/>
      <c r="P52" s="36" t="s">
        <v>55</v>
      </c>
      <c r="Q52" s="29">
        <v>0</v>
      </c>
      <c r="R52" s="29">
        <v>1</v>
      </c>
      <c r="S52" s="28">
        <v>500000</v>
      </c>
      <c r="T52" s="30">
        <f t="shared" si="29"/>
        <v>0</v>
      </c>
      <c r="V52" s="41"/>
      <c r="W52" s="36" t="s">
        <v>55</v>
      </c>
      <c r="X52" s="29">
        <v>1</v>
      </c>
      <c r="Y52" s="29">
        <v>4</v>
      </c>
      <c r="Z52" s="28">
        <v>500000</v>
      </c>
      <c r="AA52" s="30">
        <f t="shared" si="30"/>
        <v>2000000</v>
      </c>
      <c r="AC52" s="41"/>
      <c r="AD52" s="36" t="s">
        <v>55</v>
      </c>
      <c r="AE52" s="29">
        <v>2</v>
      </c>
      <c r="AF52" s="29">
        <v>4</v>
      </c>
      <c r="AG52" s="28">
        <v>500000</v>
      </c>
      <c r="AH52" s="30">
        <f t="shared" si="31"/>
        <v>4000000</v>
      </c>
    </row>
    <row r="53" spans="2:34" x14ac:dyDescent="0.25">
      <c r="O53" s="34"/>
      <c r="P53" s="36" t="s">
        <v>41</v>
      </c>
      <c r="Q53" s="29">
        <v>1</v>
      </c>
      <c r="R53" s="29">
        <v>4</v>
      </c>
      <c r="S53" s="28">
        <v>200000</v>
      </c>
      <c r="T53" s="30">
        <f t="shared" si="29"/>
        <v>800000</v>
      </c>
      <c r="V53" s="34"/>
      <c r="W53" s="36" t="s">
        <v>41</v>
      </c>
      <c r="X53" s="29">
        <v>1</v>
      </c>
      <c r="Y53" s="29">
        <v>4</v>
      </c>
      <c r="Z53" s="28">
        <v>100000</v>
      </c>
      <c r="AA53" s="30">
        <f t="shared" si="30"/>
        <v>400000</v>
      </c>
      <c r="AC53" s="34"/>
      <c r="AD53" s="36" t="s">
        <v>41</v>
      </c>
      <c r="AE53" s="29">
        <v>2</v>
      </c>
      <c r="AF53" s="29">
        <v>4</v>
      </c>
      <c r="AG53" s="28">
        <f>150000</f>
        <v>150000</v>
      </c>
      <c r="AH53" s="30">
        <f t="shared" si="31"/>
        <v>1200000</v>
      </c>
    </row>
    <row r="54" spans="2:34" x14ac:dyDescent="0.25">
      <c r="O54" s="34"/>
      <c r="P54" s="36" t="s">
        <v>43</v>
      </c>
      <c r="Q54" s="29">
        <v>1</v>
      </c>
      <c r="R54" s="29">
        <v>4</v>
      </c>
      <c r="S54" s="28">
        <v>100000</v>
      </c>
      <c r="T54" s="30">
        <f t="shared" si="29"/>
        <v>400000</v>
      </c>
      <c r="V54" s="34"/>
      <c r="W54" s="36" t="s">
        <v>43</v>
      </c>
      <c r="X54" s="29">
        <v>1</v>
      </c>
      <c r="Y54" s="29">
        <v>4</v>
      </c>
      <c r="Z54" s="28">
        <v>50000</v>
      </c>
      <c r="AA54" s="30">
        <f t="shared" si="30"/>
        <v>200000</v>
      </c>
      <c r="AC54" s="34"/>
      <c r="AD54" s="36" t="s">
        <v>43</v>
      </c>
      <c r="AE54" s="29">
        <v>2</v>
      </c>
      <c r="AF54" s="29">
        <v>4</v>
      </c>
      <c r="AG54" s="28">
        <f>100000</f>
        <v>100000</v>
      </c>
      <c r="AH54" s="30">
        <f t="shared" si="31"/>
        <v>800000</v>
      </c>
    </row>
    <row r="55" spans="2:34" x14ac:dyDescent="0.25">
      <c r="O55" s="58"/>
      <c r="P55" s="36" t="s">
        <v>56</v>
      </c>
      <c r="Q55" s="29">
        <v>0</v>
      </c>
      <c r="R55" s="29">
        <v>1</v>
      </c>
      <c r="S55" s="28">
        <v>75000</v>
      </c>
      <c r="T55" s="30">
        <f t="shared" si="29"/>
        <v>0</v>
      </c>
      <c r="V55" s="58"/>
      <c r="W55" s="36" t="s">
        <v>56</v>
      </c>
      <c r="X55" s="29">
        <v>0</v>
      </c>
      <c r="Y55" s="29">
        <v>1</v>
      </c>
      <c r="Z55" s="28">
        <v>75000</v>
      </c>
      <c r="AA55" s="30">
        <f t="shared" si="30"/>
        <v>0</v>
      </c>
      <c r="AC55" s="58"/>
      <c r="AD55" s="36" t="s">
        <v>56</v>
      </c>
      <c r="AE55" s="29">
        <v>0</v>
      </c>
      <c r="AF55" s="29">
        <v>1</v>
      </c>
      <c r="AG55" s="28">
        <v>75000</v>
      </c>
      <c r="AH55" s="30">
        <f t="shared" si="31"/>
        <v>0</v>
      </c>
    </row>
    <row r="56" spans="2:34" x14ac:dyDescent="0.25">
      <c r="O56" s="41">
        <v>3</v>
      </c>
      <c r="P56" s="37" t="s">
        <v>47</v>
      </c>
      <c r="Q56" s="51"/>
      <c r="R56" s="51"/>
      <c r="S56" s="52"/>
      <c r="T56" s="53"/>
      <c r="V56" s="41">
        <v>3</v>
      </c>
      <c r="W56" s="37" t="s">
        <v>47</v>
      </c>
      <c r="X56" s="51"/>
      <c r="Y56" s="51"/>
      <c r="Z56" s="52"/>
      <c r="AA56" s="53"/>
      <c r="AC56" s="41">
        <v>3</v>
      </c>
      <c r="AD56" s="37" t="s">
        <v>47</v>
      </c>
      <c r="AE56" s="51"/>
      <c r="AF56" s="51"/>
      <c r="AG56" s="52"/>
      <c r="AH56" s="53"/>
    </row>
    <row r="57" spans="2:34" x14ac:dyDescent="0.25">
      <c r="O57" s="50"/>
      <c r="P57" s="36" t="s">
        <v>48</v>
      </c>
      <c r="Q57" s="29">
        <v>2</v>
      </c>
      <c r="R57" s="29">
        <v>1</v>
      </c>
      <c r="S57" s="28">
        <v>50000</v>
      </c>
      <c r="T57" s="30">
        <f t="shared" ref="T57:T58" si="32">Q57*R57*S57</f>
        <v>100000</v>
      </c>
      <c r="V57" s="50"/>
      <c r="W57" s="36" t="s">
        <v>48</v>
      </c>
      <c r="X57" s="29">
        <v>1</v>
      </c>
      <c r="Y57" s="29">
        <v>1</v>
      </c>
      <c r="Z57" s="28">
        <v>50000</v>
      </c>
      <c r="AA57" s="30">
        <f t="shared" ref="AA57:AA58" si="33">X57*Y57*Z57</f>
        <v>50000</v>
      </c>
      <c r="AC57" s="50"/>
      <c r="AD57" s="36" t="s">
        <v>48</v>
      </c>
      <c r="AE57" s="29">
        <v>5</v>
      </c>
      <c r="AF57" s="29">
        <v>1</v>
      </c>
      <c r="AG57" s="28">
        <v>50000</v>
      </c>
      <c r="AH57" s="30">
        <f t="shared" ref="AH57:AH58" si="34">AE57*AF57*AG57</f>
        <v>250000</v>
      </c>
    </row>
    <row r="58" spans="2:34" x14ac:dyDescent="0.25">
      <c r="O58" s="50"/>
      <c r="P58" s="36" t="s">
        <v>57</v>
      </c>
      <c r="Q58" s="29">
        <v>2</v>
      </c>
      <c r="R58" s="29">
        <v>1</v>
      </c>
      <c r="S58" s="28">
        <v>250000</v>
      </c>
      <c r="T58" s="30">
        <f t="shared" si="32"/>
        <v>500000</v>
      </c>
      <c r="V58" s="50"/>
      <c r="W58" s="36" t="s">
        <v>57</v>
      </c>
      <c r="X58" s="29">
        <v>3</v>
      </c>
      <c r="Y58" s="29">
        <v>1</v>
      </c>
      <c r="Z58" s="28">
        <v>250000</v>
      </c>
      <c r="AA58" s="30">
        <f t="shared" si="33"/>
        <v>750000</v>
      </c>
      <c r="AC58" s="50"/>
      <c r="AD58" s="36" t="s">
        <v>57</v>
      </c>
      <c r="AE58" s="29">
        <v>4</v>
      </c>
      <c r="AF58" s="29">
        <v>2</v>
      </c>
      <c r="AG58" s="28">
        <v>250000</v>
      </c>
      <c r="AH58" s="30">
        <f t="shared" si="34"/>
        <v>2000000</v>
      </c>
    </row>
    <row r="59" spans="2:34" x14ac:dyDescent="0.25">
      <c r="O59" s="35"/>
      <c r="P59" s="45"/>
      <c r="Q59" s="32"/>
      <c r="R59" s="32"/>
      <c r="S59" s="31"/>
      <c r="T59" s="33"/>
      <c r="V59" s="35"/>
      <c r="W59" s="45"/>
      <c r="X59" s="32"/>
      <c r="Y59" s="32"/>
      <c r="Z59" s="31"/>
      <c r="AA59" s="33"/>
      <c r="AC59" s="35"/>
      <c r="AD59" s="45"/>
      <c r="AE59" s="32"/>
      <c r="AF59" s="32"/>
      <c r="AG59" s="31"/>
      <c r="AH59" s="33"/>
    </row>
    <row r="60" spans="2:34" x14ac:dyDescent="0.25">
      <c r="O60" s="46"/>
      <c r="P60" s="49" t="s">
        <v>45</v>
      </c>
      <c r="Q60" s="48"/>
      <c r="R60" s="48"/>
      <c r="S60" s="47"/>
      <c r="T60" s="24">
        <f>SUM(T45:T58)</f>
        <v>3600000</v>
      </c>
      <c r="V60" s="46"/>
      <c r="W60" s="49" t="s">
        <v>45</v>
      </c>
      <c r="X60" s="48"/>
      <c r="Y60" s="48"/>
      <c r="Z60" s="47"/>
      <c r="AA60" s="24">
        <f>SUM(AA45:AA58)</f>
        <v>11600000</v>
      </c>
      <c r="AC60" s="46"/>
      <c r="AD60" s="49" t="s">
        <v>45</v>
      </c>
      <c r="AE60" s="48"/>
      <c r="AF60" s="48"/>
      <c r="AG60" s="47"/>
      <c r="AH60" s="24">
        <f>SUM(AH45:AH58)</f>
        <v>20969200</v>
      </c>
    </row>
    <row r="61" spans="2:34" x14ac:dyDescent="0.25">
      <c r="B61" s="4" t="e">
        <f>#REF!+1</f>
        <v>#REF!</v>
      </c>
      <c r="C61" s="1" t="s">
        <v>17</v>
      </c>
      <c r="G61" s="1" t="s">
        <v>15</v>
      </c>
      <c r="H61" s="1" t="s">
        <v>24</v>
      </c>
      <c r="I61" s="1">
        <v>4950000</v>
      </c>
      <c r="J61" s="1">
        <f t="shared" ref="J61" si="35">I61*(1-$J$2)</f>
        <v>3960000</v>
      </c>
      <c r="K61" s="1">
        <f t="shared" ref="K61" si="36">J61*K$2</f>
        <v>396000</v>
      </c>
      <c r="L61" s="1">
        <f t="shared" ref="L61" si="37">J61+K61</f>
        <v>4356000</v>
      </c>
    </row>
    <row r="62" spans="2:34" x14ac:dyDescent="0.25">
      <c r="B62" s="4" t="e">
        <f t="shared" ref="B62:B66" si="38">B61+1</f>
        <v>#REF!</v>
      </c>
      <c r="O62" s="120" t="s">
        <v>113</v>
      </c>
      <c r="P62" s="121"/>
      <c r="Q62" s="121"/>
      <c r="R62" s="121"/>
      <c r="S62" s="121"/>
      <c r="T62" s="122"/>
      <c r="V62" s="120" t="s">
        <v>114</v>
      </c>
      <c r="W62" s="121"/>
      <c r="X62" s="121"/>
      <c r="Y62" s="121"/>
      <c r="Z62" s="121"/>
      <c r="AA62" s="122"/>
      <c r="AC62" s="120" t="s">
        <v>115</v>
      </c>
      <c r="AD62" s="121"/>
      <c r="AE62" s="121"/>
      <c r="AF62" s="121"/>
      <c r="AG62" s="121"/>
      <c r="AH62" s="122"/>
    </row>
    <row r="63" spans="2:34" x14ac:dyDescent="0.25">
      <c r="B63" s="4" t="e">
        <f t="shared" si="38"/>
        <v>#REF!</v>
      </c>
      <c r="O63" s="17" t="s">
        <v>35</v>
      </c>
      <c r="P63" s="16" t="s">
        <v>36</v>
      </c>
      <c r="Q63" s="15" t="s">
        <v>44</v>
      </c>
      <c r="R63" s="15" t="s">
        <v>7</v>
      </c>
      <c r="S63" s="17" t="s">
        <v>8</v>
      </c>
      <c r="T63" s="17" t="s">
        <v>9</v>
      </c>
      <c r="V63" s="17" t="s">
        <v>35</v>
      </c>
      <c r="W63" s="16" t="s">
        <v>36</v>
      </c>
      <c r="X63" s="15" t="s">
        <v>44</v>
      </c>
      <c r="Y63" s="15" t="s">
        <v>7</v>
      </c>
      <c r="Z63" s="17" t="s">
        <v>8</v>
      </c>
      <c r="AA63" s="17" t="s">
        <v>9</v>
      </c>
      <c r="AC63" s="17" t="s">
        <v>35</v>
      </c>
      <c r="AD63" s="16" t="s">
        <v>36</v>
      </c>
      <c r="AE63" s="15" t="s">
        <v>44</v>
      </c>
      <c r="AF63" s="15" t="s">
        <v>7</v>
      </c>
      <c r="AG63" s="17" t="s">
        <v>8</v>
      </c>
      <c r="AH63" s="17" t="s">
        <v>9</v>
      </c>
    </row>
    <row r="64" spans="2:34" x14ac:dyDescent="0.25">
      <c r="B64" s="4" t="e">
        <f t="shared" si="38"/>
        <v>#REF!</v>
      </c>
      <c r="O64" s="41">
        <v>1</v>
      </c>
      <c r="P64" s="37" t="s">
        <v>6</v>
      </c>
      <c r="Q64" s="38"/>
      <c r="R64" s="38"/>
      <c r="S64" s="39"/>
      <c r="T64" s="40"/>
      <c r="V64" s="41">
        <v>1</v>
      </c>
      <c r="W64" s="37" t="s">
        <v>6</v>
      </c>
      <c r="X64" s="38"/>
      <c r="Y64" s="38"/>
      <c r="Z64" s="39"/>
      <c r="AA64" s="40"/>
      <c r="AC64" s="41">
        <v>1</v>
      </c>
      <c r="AD64" s="37" t="s">
        <v>6</v>
      </c>
      <c r="AE64" s="38"/>
      <c r="AF64" s="38"/>
      <c r="AG64" s="39"/>
      <c r="AH64" s="40"/>
    </row>
    <row r="65" spans="2:34" x14ac:dyDescent="0.25">
      <c r="B65" s="4" t="e">
        <f t="shared" si="38"/>
        <v>#REF!</v>
      </c>
      <c r="O65" s="34"/>
      <c r="P65" s="36" t="s">
        <v>37</v>
      </c>
      <c r="Q65" s="29">
        <v>0</v>
      </c>
      <c r="R65" s="29">
        <v>4</v>
      </c>
      <c r="S65" s="28">
        <v>200000</v>
      </c>
      <c r="T65" s="30">
        <f t="shared" ref="T65:T67" si="39">Q65*R65*S65</f>
        <v>0</v>
      </c>
      <c r="V65" s="34"/>
      <c r="W65" s="36" t="s">
        <v>37</v>
      </c>
      <c r="X65" s="29">
        <v>1</v>
      </c>
      <c r="Y65" s="29">
        <v>2</v>
      </c>
      <c r="Z65" s="28">
        <v>200000</v>
      </c>
      <c r="AA65" s="30">
        <f t="shared" ref="AA65:AA67" si="40">X65*Y65*Z65</f>
        <v>400000</v>
      </c>
      <c r="AC65" s="34"/>
      <c r="AD65" s="36" t="s">
        <v>37</v>
      </c>
      <c r="AE65" s="29">
        <v>0</v>
      </c>
      <c r="AF65" s="29">
        <v>2</v>
      </c>
      <c r="AG65" s="28">
        <v>200000</v>
      </c>
      <c r="AH65" s="30">
        <f t="shared" ref="AH65:AH67" si="41">AE65*AF65*AG65</f>
        <v>0</v>
      </c>
    </row>
    <row r="66" spans="2:34" x14ac:dyDescent="0.25">
      <c r="B66" s="4" t="e">
        <f t="shared" si="38"/>
        <v>#REF!</v>
      </c>
      <c r="G66" s="1">
        <v>7000000</v>
      </c>
      <c r="O66" s="34"/>
      <c r="P66" s="36" t="s">
        <v>38</v>
      </c>
      <c r="Q66" s="29">
        <v>1</v>
      </c>
      <c r="R66" s="29">
        <v>2</v>
      </c>
      <c r="S66" s="28">
        <v>150000</v>
      </c>
      <c r="T66" s="30">
        <f t="shared" si="39"/>
        <v>300000</v>
      </c>
      <c r="V66" s="34"/>
      <c r="W66" s="36" t="s">
        <v>38</v>
      </c>
      <c r="X66" s="29">
        <v>0</v>
      </c>
      <c r="Y66" s="29">
        <v>4</v>
      </c>
      <c r="Z66" s="28">
        <v>150000</v>
      </c>
      <c r="AA66" s="30">
        <f t="shared" si="40"/>
        <v>0</v>
      </c>
      <c r="AC66" s="34"/>
      <c r="AD66" s="36" t="s">
        <v>38</v>
      </c>
      <c r="AE66" s="29">
        <v>1</v>
      </c>
      <c r="AF66" s="29">
        <v>2</v>
      </c>
      <c r="AG66" s="28">
        <v>150000</v>
      </c>
      <c r="AH66" s="30">
        <f t="shared" si="41"/>
        <v>300000</v>
      </c>
    </row>
    <row r="67" spans="2:34" x14ac:dyDescent="0.25">
      <c r="G67" s="1">
        <v>5000000</v>
      </c>
      <c r="I67" s="6"/>
      <c r="J67" s="6"/>
      <c r="K67" s="6"/>
      <c r="L67" s="6">
        <f>SUM(L45:L66)</f>
        <v>373483636.36363637</v>
      </c>
      <c r="M67" s="6"/>
      <c r="O67" s="34"/>
      <c r="P67" s="36" t="s">
        <v>39</v>
      </c>
      <c r="Q67" s="29">
        <v>0</v>
      </c>
      <c r="R67" s="29">
        <v>4</v>
      </c>
      <c r="S67" s="28">
        <v>100000</v>
      </c>
      <c r="T67" s="30">
        <f t="shared" si="39"/>
        <v>0</v>
      </c>
      <c r="V67" s="34"/>
      <c r="W67" s="36" t="s">
        <v>39</v>
      </c>
      <c r="X67" s="29">
        <v>0</v>
      </c>
      <c r="Y67" s="29">
        <v>3</v>
      </c>
      <c r="Z67" s="28">
        <v>100000</v>
      </c>
      <c r="AA67" s="30">
        <f t="shared" si="40"/>
        <v>0</v>
      </c>
      <c r="AC67" s="34"/>
      <c r="AD67" s="36" t="s">
        <v>39</v>
      </c>
      <c r="AE67" s="29">
        <v>0</v>
      </c>
      <c r="AF67" s="29">
        <v>3</v>
      </c>
      <c r="AG67" s="28">
        <v>100000</v>
      </c>
      <c r="AH67" s="30">
        <f t="shared" si="41"/>
        <v>0</v>
      </c>
    </row>
    <row r="68" spans="2:34" x14ac:dyDescent="0.25">
      <c r="G68" s="1">
        <v>5000000</v>
      </c>
      <c r="L68" s="6">
        <v>75000000</v>
      </c>
      <c r="M68" s="6"/>
      <c r="O68" s="41">
        <f>O64+1</f>
        <v>2</v>
      </c>
      <c r="P68" s="37" t="s">
        <v>40</v>
      </c>
      <c r="Q68" s="29"/>
      <c r="R68" s="29"/>
      <c r="S68" s="28"/>
      <c r="T68" s="30"/>
      <c r="V68" s="41">
        <f>V64+1</f>
        <v>2</v>
      </c>
      <c r="W68" s="37" t="s">
        <v>40</v>
      </c>
      <c r="X68" s="29"/>
      <c r="Y68" s="29"/>
      <c r="Z68" s="28"/>
      <c r="AA68" s="30"/>
      <c r="AC68" s="41">
        <f>AC64+1</f>
        <v>2</v>
      </c>
      <c r="AD68" s="37" t="s">
        <v>40</v>
      </c>
      <c r="AE68" s="29"/>
      <c r="AF68" s="29"/>
      <c r="AG68" s="28"/>
      <c r="AH68" s="30"/>
    </row>
    <row r="69" spans="2:34" x14ac:dyDescent="0.25">
      <c r="G69" s="1">
        <f>SUM(G66:G68)</f>
        <v>17000000</v>
      </c>
      <c r="I69" s="6"/>
      <c r="J69" s="6"/>
      <c r="K69" s="6"/>
      <c r="L69" s="6">
        <f>L68/1.1</f>
        <v>68181818.181818172</v>
      </c>
      <c r="M69" s="6"/>
      <c r="O69" s="41"/>
      <c r="P69" s="36" t="s">
        <v>54</v>
      </c>
      <c r="Q69" s="29">
        <v>1</v>
      </c>
      <c r="R69" s="29">
        <v>1</v>
      </c>
      <c r="S69" s="28">
        <v>400000</v>
      </c>
      <c r="T69" s="30">
        <f t="shared" ref="T69:T75" si="42">Q69*R69*S69</f>
        <v>400000</v>
      </c>
      <c r="V69" s="41"/>
      <c r="W69" s="36" t="s">
        <v>54</v>
      </c>
      <c r="X69" s="29">
        <v>1</v>
      </c>
      <c r="Y69" s="29">
        <v>1</v>
      </c>
      <c r="Z69" s="28">
        <v>400000</v>
      </c>
      <c r="AA69" s="30">
        <f t="shared" ref="AA69:AA75" si="43">X69*Y69*Z69</f>
        <v>400000</v>
      </c>
      <c r="AC69" s="41"/>
      <c r="AD69" s="36" t="s">
        <v>54</v>
      </c>
      <c r="AE69" s="29">
        <v>1</v>
      </c>
      <c r="AF69" s="29">
        <v>1</v>
      </c>
      <c r="AG69" s="28">
        <v>400000</v>
      </c>
      <c r="AH69" s="30">
        <f t="shared" ref="AH69:AH75" si="44">AE69*AF69*AG69</f>
        <v>400000</v>
      </c>
    </row>
    <row r="70" spans="2:34" x14ac:dyDescent="0.25">
      <c r="G70" s="1">
        <f>G69*1.1</f>
        <v>18700000</v>
      </c>
      <c r="O70" s="41"/>
      <c r="P70" s="36" t="s">
        <v>58</v>
      </c>
      <c r="Q70" s="29">
        <v>1</v>
      </c>
      <c r="R70" s="29">
        <v>2</v>
      </c>
      <c r="S70" s="66">
        <v>333500</v>
      </c>
      <c r="T70" s="30">
        <f t="shared" si="42"/>
        <v>667000</v>
      </c>
      <c r="V70" s="41"/>
      <c r="W70" s="36" t="s">
        <v>58</v>
      </c>
      <c r="X70" s="29">
        <v>1</v>
      </c>
      <c r="Y70" s="29">
        <v>2</v>
      </c>
      <c r="Z70" s="66">
        <v>641100</v>
      </c>
      <c r="AA70" s="30">
        <f t="shared" si="43"/>
        <v>1282200</v>
      </c>
      <c r="AC70" s="41"/>
      <c r="AD70" s="36" t="s">
        <v>58</v>
      </c>
      <c r="AE70" s="29">
        <v>1</v>
      </c>
      <c r="AF70" s="29">
        <v>2</v>
      </c>
      <c r="AG70" s="66">
        <v>704900</v>
      </c>
      <c r="AH70" s="30">
        <f t="shared" si="44"/>
        <v>1409800</v>
      </c>
    </row>
    <row r="71" spans="2:34" x14ac:dyDescent="0.25">
      <c r="O71" s="41"/>
      <c r="P71" s="36" t="s">
        <v>59</v>
      </c>
      <c r="Q71" s="29">
        <v>1</v>
      </c>
      <c r="R71" s="29">
        <v>2</v>
      </c>
      <c r="S71" s="28">
        <v>500000</v>
      </c>
      <c r="T71" s="30">
        <f t="shared" si="42"/>
        <v>1000000</v>
      </c>
      <c r="V71" s="41"/>
      <c r="W71" s="36" t="s">
        <v>59</v>
      </c>
      <c r="X71" s="29">
        <v>1</v>
      </c>
      <c r="Y71" s="29">
        <v>2</v>
      </c>
      <c r="Z71" s="28">
        <v>500000</v>
      </c>
      <c r="AA71" s="30">
        <f t="shared" si="43"/>
        <v>1000000</v>
      </c>
      <c r="AC71" s="41"/>
      <c r="AD71" s="36" t="s">
        <v>59</v>
      </c>
      <c r="AE71" s="29">
        <v>1</v>
      </c>
      <c r="AF71" s="29">
        <v>2</v>
      </c>
      <c r="AG71" s="28">
        <v>500000</v>
      </c>
      <c r="AH71" s="30">
        <f t="shared" si="44"/>
        <v>1000000</v>
      </c>
    </row>
    <row r="72" spans="2:34" x14ac:dyDescent="0.25">
      <c r="O72" s="41"/>
      <c r="P72" s="36" t="s">
        <v>55</v>
      </c>
      <c r="Q72" s="29">
        <v>1</v>
      </c>
      <c r="R72" s="29">
        <v>1</v>
      </c>
      <c r="S72" s="28">
        <v>500000</v>
      </c>
      <c r="T72" s="30">
        <f t="shared" si="42"/>
        <v>500000</v>
      </c>
      <c r="V72" s="41"/>
      <c r="W72" s="36" t="s">
        <v>55</v>
      </c>
      <c r="X72" s="29">
        <v>1</v>
      </c>
      <c r="Y72" s="29">
        <v>1</v>
      </c>
      <c r="Z72" s="28">
        <v>500000</v>
      </c>
      <c r="AA72" s="30">
        <f t="shared" si="43"/>
        <v>500000</v>
      </c>
      <c r="AC72" s="41"/>
      <c r="AD72" s="36" t="s">
        <v>55</v>
      </c>
      <c r="AE72" s="29">
        <v>1</v>
      </c>
      <c r="AF72" s="29">
        <v>1</v>
      </c>
      <c r="AG72" s="28">
        <v>500000</v>
      </c>
      <c r="AH72" s="30">
        <f t="shared" si="44"/>
        <v>500000</v>
      </c>
    </row>
    <row r="73" spans="2:34" x14ac:dyDescent="0.25">
      <c r="O73" s="34"/>
      <c r="P73" s="36" t="s">
        <v>41</v>
      </c>
      <c r="Q73" s="29">
        <v>1</v>
      </c>
      <c r="R73" s="29">
        <v>1</v>
      </c>
      <c r="S73" s="28">
        <v>150000</v>
      </c>
      <c r="T73" s="30">
        <f t="shared" si="42"/>
        <v>150000</v>
      </c>
      <c r="V73" s="34"/>
      <c r="W73" s="36" t="s">
        <v>41</v>
      </c>
      <c r="X73" s="29">
        <v>1</v>
      </c>
      <c r="Y73" s="29">
        <v>1</v>
      </c>
      <c r="Z73" s="28">
        <f>200000</f>
        <v>200000</v>
      </c>
      <c r="AA73" s="30">
        <f t="shared" si="43"/>
        <v>200000</v>
      </c>
      <c r="AC73" s="34"/>
      <c r="AD73" s="36" t="s">
        <v>41</v>
      </c>
      <c r="AE73" s="29">
        <v>1</v>
      </c>
      <c r="AF73" s="29">
        <v>1</v>
      </c>
      <c r="AG73" s="28">
        <f>200000</f>
        <v>200000</v>
      </c>
      <c r="AH73" s="30">
        <f t="shared" si="44"/>
        <v>200000</v>
      </c>
    </row>
    <row r="74" spans="2:34" x14ac:dyDescent="0.25">
      <c r="O74" s="34"/>
      <c r="P74" s="36" t="s">
        <v>43</v>
      </c>
      <c r="Q74" s="29">
        <v>1</v>
      </c>
      <c r="R74" s="29">
        <v>1</v>
      </c>
      <c r="S74" s="28">
        <v>100000</v>
      </c>
      <c r="T74" s="30">
        <f t="shared" si="42"/>
        <v>100000</v>
      </c>
      <c r="V74" s="34"/>
      <c r="W74" s="36" t="s">
        <v>43</v>
      </c>
      <c r="X74" s="29">
        <v>1</v>
      </c>
      <c r="Y74" s="29">
        <v>1</v>
      </c>
      <c r="Z74" s="28">
        <v>50000</v>
      </c>
      <c r="AA74" s="30">
        <f t="shared" si="43"/>
        <v>50000</v>
      </c>
      <c r="AC74" s="34"/>
      <c r="AD74" s="36" t="s">
        <v>43</v>
      </c>
      <c r="AE74" s="29">
        <v>1</v>
      </c>
      <c r="AF74" s="29">
        <v>1</v>
      </c>
      <c r="AG74" s="28">
        <v>50000</v>
      </c>
      <c r="AH74" s="30">
        <f t="shared" si="44"/>
        <v>50000</v>
      </c>
    </row>
    <row r="75" spans="2:34" x14ac:dyDescent="0.25">
      <c r="O75" s="58"/>
      <c r="P75" s="36" t="s">
        <v>56</v>
      </c>
      <c r="Q75" s="29">
        <v>1</v>
      </c>
      <c r="R75" s="29">
        <v>1</v>
      </c>
      <c r="S75" s="28">
        <v>75000</v>
      </c>
      <c r="T75" s="30">
        <f t="shared" si="42"/>
        <v>75000</v>
      </c>
      <c r="V75" s="58"/>
      <c r="W75" s="36" t="s">
        <v>56</v>
      </c>
      <c r="X75" s="29">
        <v>1</v>
      </c>
      <c r="Y75" s="29">
        <v>1</v>
      </c>
      <c r="Z75" s="28">
        <v>75000</v>
      </c>
      <c r="AA75" s="30">
        <f t="shared" si="43"/>
        <v>75000</v>
      </c>
      <c r="AC75" s="58"/>
      <c r="AD75" s="36" t="s">
        <v>56</v>
      </c>
      <c r="AE75" s="29">
        <v>1</v>
      </c>
      <c r="AF75" s="29">
        <v>1</v>
      </c>
      <c r="AG75" s="28">
        <v>75000</v>
      </c>
      <c r="AH75" s="30">
        <f t="shared" si="44"/>
        <v>75000</v>
      </c>
    </row>
    <row r="76" spans="2:34" x14ac:dyDescent="0.25">
      <c r="O76" s="41">
        <v>3</v>
      </c>
      <c r="P76" s="37" t="s">
        <v>47</v>
      </c>
      <c r="Q76" s="51"/>
      <c r="R76" s="51"/>
      <c r="S76" s="52"/>
      <c r="T76" s="53"/>
      <c r="V76" s="41">
        <v>3</v>
      </c>
      <c r="W76" s="37" t="s">
        <v>47</v>
      </c>
      <c r="X76" s="51"/>
      <c r="Y76" s="51"/>
      <c r="Z76" s="52"/>
      <c r="AA76" s="53"/>
      <c r="AC76" s="41">
        <v>3</v>
      </c>
      <c r="AD76" s="37" t="s">
        <v>47</v>
      </c>
      <c r="AE76" s="51"/>
      <c r="AF76" s="51"/>
      <c r="AG76" s="52"/>
      <c r="AH76" s="53"/>
    </row>
    <row r="77" spans="2:34" x14ac:dyDescent="0.25">
      <c r="O77" s="50"/>
      <c r="P77" s="36" t="s">
        <v>48</v>
      </c>
      <c r="Q77" s="29">
        <v>1</v>
      </c>
      <c r="R77" s="29">
        <v>1</v>
      </c>
      <c r="S77" s="28">
        <v>50000</v>
      </c>
      <c r="T77" s="30">
        <f t="shared" ref="T77:T78" si="45">Q77*R77*S77</f>
        <v>50000</v>
      </c>
      <c r="V77" s="50"/>
      <c r="W77" s="36" t="s">
        <v>48</v>
      </c>
      <c r="X77" s="29">
        <v>1</v>
      </c>
      <c r="Y77" s="29">
        <v>1</v>
      </c>
      <c r="Z77" s="28">
        <v>50000</v>
      </c>
      <c r="AA77" s="30">
        <f t="shared" ref="AA77:AA78" si="46">X77*Y77*Z77</f>
        <v>50000</v>
      </c>
      <c r="AC77" s="50"/>
      <c r="AD77" s="36" t="s">
        <v>48</v>
      </c>
      <c r="AE77" s="29">
        <v>1</v>
      </c>
      <c r="AF77" s="29">
        <v>1</v>
      </c>
      <c r="AG77" s="28">
        <v>50000</v>
      </c>
      <c r="AH77" s="30">
        <f t="shared" ref="AH77:AH78" si="47">AE77*AF77*AG77</f>
        <v>50000</v>
      </c>
    </row>
    <row r="78" spans="2:34" x14ac:dyDescent="0.25">
      <c r="O78" s="50"/>
      <c r="P78" s="36" t="s">
        <v>57</v>
      </c>
      <c r="Q78" s="29">
        <v>1</v>
      </c>
      <c r="R78" s="29">
        <v>1</v>
      </c>
      <c r="S78" s="28">
        <v>250000</v>
      </c>
      <c r="T78" s="30">
        <f t="shared" si="45"/>
        <v>250000</v>
      </c>
      <c r="V78" s="50"/>
      <c r="W78" s="36" t="s">
        <v>57</v>
      </c>
      <c r="X78" s="29">
        <v>1</v>
      </c>
      <c r="Y78" s="29">
        <v>1</v>
      </c>
      <c r="Z78" s="28">
        <v>250000</v>
      </c>
      <c r="AA78" s="30">
        <f t="shared" si="46"/>
        <v>250000</v>
      </c>
      <c r="AC78" s="50"/>
      <c r="AD78" s="36" t="s">
        <v>57</v>
      </c>
      <c r="AE78" s="29">
        <v>1</v>
      </c>
      <c r="AF78" s="29">
        <v>1</v>
      </c>
      <c r="AG78" s="28">
        <v>250000</v>
      </c>
      <c r="AH78" s="30">
        <f t="shared" si="47"/>
        <v>250000</v>
      </c>
    </row>
    <row r="79" spans="2:34" x14ac:dyDescent="0.25">
      <c r="O79" s="35"/>
      <c r="P79" s="45"/>
      <c r="Q79" s="32"/>
      <c r="R79" s="32"/>
      <c r="S79" s="31"/>
      <c r="T79" s="33"/>
      <c r="V79" s="35"/>
      <c r="W79" s="45"/>
      <c r="X79" s="32"/>
      <c r="Y79" s="32"/>
      <c r="Z79" s="31"/>
      <c r="AA79" s="33"/>
      <c r="AC79" s="35"/>
      <c r="AD79" s="45"/>
      <c r="AE79" s="32"/>
      <c r="AF79" s="32"/>
      <c r="AG79" s="31"/>
      <c r="AH79" s="33"/>
    </row>
    <row r="80" spans="2:34" x14ac:dyDescent="0.25">
      <c r="O80" s="46"/>
      <c r="P80" s="49" t="s">
        <v>45</v>
      </c>
      <c r="Q80" s="48"/>
      <c r="R80" s="48"/>
      <c r="S80" s="47"/>
      <c r="T80" s="24">
        <f>SUM(T65:T78)</f>
        <v>3492000</v>
      </c>
      <c r="V80" s="46"/>
      <c r="W80" s="49" t="s">
        <v>45</v>
      </c>
      <c r="X80" s="48"/>
      <c r="Y80" s="48"/>
      <c r="Z80" s="47"/>
      <c r="AA80" s="24">
        <f>SUM(AA65:AA78)</f>
        <v>4207200</v>
      </c>
      <c r="AC80" s="46"/>
      <c r="AD80" s="49" t="s">
        <v>45</v>
      </c>
      <c r="AE80" s="48"/>
      <c r="AF80" s="48"/>
      <c r="AG80" s="47"/>
      <c r="AH80" s="24">
        <f>SUM(AH65:AH78)</f>
        <v>4234800</v>
      </c>
    </row>
    <row r="81" spans="2:34" x14ac:dyDescent="0.25">
      <c r="B81" s="4" t="e">
        <f>#REF!+1</f>
        <v>#REF!</v>
      </c>
      <c r="C81" s="1" t="s">
        <v>17</v>
      </c>
      <c r="G81" s="1" t="s">
        <v>15</v>
      </c>
      <c r="H81" s="1" t="s">
        <v>24</v>
      </c>
      <c r="I81" s="1">
        <v>4950000</v>
      </c>
      <c r="J81" s="1">
        <f t="shared" ref="J81" si="48">I81*(1-$J$2)</f>
        <v>3960000</v>
      </c>
      <c r="K81" s="1">
        <f t="shared" ref="K81" si="49">J81*K$2</f>
        <v>396000</v>
      </c>
      <c r="L81" s="1">
        <f t="shared" ref="L81" si="50">J81+K81</f>
        <v>4356000</v>
      </c>
    </row>
    <row r="82" spans="2:34" x14ac:dyDescent="0.25">
      <c r="B82" s="4" t="e">
        <f t="shared" ref="B82:B86" si="51">B81+1</f>
        <v>#REF!</v>
      </c>
      <c r="O82" s="120" t="s">
        <v>116</v>
      </c>
      <c r="P82" s="121"/>
      <c r="Q82" s="121"/>
      <c r="R82" s="121"/>
      <c r="S82" s="121"/>
      <c r="T82" s="122"/>
      <c r="V82" s="120" t="s">
        <v>117</v>
      </c>
      <c r="W82" s="121"/>
      <c r="X82" s="121"/>
      <c r="Y82" s="121"/>
      <c r="Z82" s="121"/>
      <c r="AA82" s="122"/>
      <c r="AC82" s="120" t="s">
        <v>118</v>
      </c>
      <c r="AD82" s="121"/>
      <c r="AE82" s="121"/>
      <c r="AF82" s="121"/>
      <c r="AG82" s="121"/>
      <c r="AH82" s="122"/>
    </row>
    <row r="83" spans="2:34" x14ac:dyDescent="0.25">
      <c r="B83" s="4" t="e">
        <f t="shared" si="51"/>
        <v>#REF!</v>
      </c>
      <c r="O83" s="17" t="s">
        <v>35</v>
      </c>
      <c r="P83" s="16" t="s">
        <v>36</v>
      </c>
      <c r="Q83" s="15" t="s">
        <v>44</v>
      </c>
      <c r="R83" s="15" t="s">
        <v>7</v>
      </c>
      <c r="S83" s="17" t="s">
        <v>8</v>
      </c>
      <c r="T83" s="17" t="s">
        <v>9</v>
      </c>
      <c r="V83" s="17" t="s">
        <v>35</v>
      </c>
      <c r="W83" s="16" t="s">
        <v>36</v>
      </c>
      <c r="X83" s="15" t="s">
        <v>44</v>
      </c>
      <c r="Y83" s="15" t="s">
        <v>7</v>
      </c>
      <c r="Z83" s="17" t="s">
        <v>8</v>
      </c>
      <c r="AA83" s="17" t="s">
        <v>9</v>
      </c>
      <c r="AC83" s="17" t="s">
        <v>35</v>
      </c>
      <c r="AD83" s="16" t="s">
        <v>36</v>
      </c>
      <c r="AE83" s="15" t="s">
        <v>44</v>
      </c>
      <c r="AF83" s="15" t="s">
        <v>7</v>
      </c>
      <c r="AG83" s="17" t="s">
        <v>8</v>
      </c>
      <c r="AH83" s="17" t="s">
        <v>9</v>
      </c>
    </row>
    <row r="84" spans="2:34" x14ac:dyDescent="0.25">
      <c r="B84" s="4" t="e">
        <f t="shared" si="51"/>
        <v>#REF!</v>
      </c>
      <c r="O84" s="41">
        <v>1</v>
      </c>
      <c r="P84" s="37" t="s">
        <v>6</v>
      </c>
      <c r="Q84" s="38"/>
      <c r="R84" s="38"/>
      <c r="S84" s="39"/>
      <c r="T84" s="40"/>
      <c r="V84" s="41">
        <v>1</v>
      </c>
      <c r="W84" s="37" t="s">
        <v>6</v>
      </c>
      <c r="X84" s="38"/>
      <c r="Y84" s="38"/>
      <c r="Z84" s="39"/>
      <c r="AA84" s="40"/>
      <c r="AC84" s="41">
        <v>1</v>
      </c>
      <c r="AD84" s="37" t="s">
        <v>6</v>
      </c>
      <c r="AE84" s="38"/>
      <c r="AF84" s="38"/>
      <c r="AG84" s="39"/>
      <c r="AH84" s="40"/>
    </row>
    <row r="85" spans="2:34" x14ac:dyDescent="0.25">
      <c r="B85" s="4" t="e">
        <f t="shared" si="51"/>
        <v>#REF!</v>
      </c>
      <c r="O85" s="34"/>
      <c r="P85" s="36" t="s">
        <v>37</v>
      </c>
      <c r="Q85" s="29">
        <v>1</v>
      </c>
      <c r="R85" s="29">
        <v>2</v>
      </c>
      <c r="S85" s="28">
        <v>200000</v>
      </c>
      <c r="T85" s="30">
        <f t="shared" ref="T85:T87" si="52">Q85*R85*S85</f>
        <v>400000</v>
      </c>
      <c r="V85" s="34"/>
      <c r="W85" s="36" t="s">
        <v>37</v>
      </c>
      <c r="X85" s="29">
        <v>1</v>
      </c>
      <c r="Y85" s="29">
        <v>2</v>
      </c>
      <c r="Z85" s="28">
        <v>200000</v>
      </c>
      <c r="AA85" s="30">
        <f t="shared" ref="AA85:AA87" si="53">X85*Y85*Z85</f>
        <v>400000</v>
      </c>
      <c r="AC85" s="34"/>
      <c r="AD85" s="36" t="s">
        <v>37</v>
      </c>
      <c r="AE85" s="29">
        <v>1</v>
      </c>
      <c r="AF85" s="29">
        <v>2</v>
      </c>
      <c r="AG85" s="28">
        <v>200000</v>
      </c>
      <c r="AH85" s="30">
        <f t="shared" ref="AH85:AH87" si="54">AE85*AF85*AG85</f>
        <v>400000</v>
      </c>
    </row>
    <row r="86" spans="2:34" x14ac:dyDescent="0.25">
      <c r="B86" s="4" t="e">
        <f t="shared" si="51"/>
        <v>#REF!</v>
      </c>
      <c r="G86" s="1">
        <v>7000000</v>
      </c>
      <c r="O86" s="34"/>
      <c r="P86" s="36" t="s">
        <v>38</v>
      </c>
      <c r="Q86" s="29">
        <v>0</v>
      </c>
      <c r="R86" s="29">
        <v>2</v>
      </c>
      <c r="S86" s="28">
        <v>150000</v>
      </c>
      <c r="T86" s="30">
        <f t="shared" si="52"/>
        <v>0</v>
      </c>
      <c r="V86" s="34"/>
      <c r="W86" s="36" t="s">
        <v>38</v>
      </c>
      <c r="X86" s="29">
        <v>0</v>
      </c>
      <c r="Y86" s="29">
        <v>4</v>
      </c>
      <c r="Z86" s="28">
        <v>150000</v>
      </c>
      <c r="AA86" s="30">
        <f t="shared" si="53"/>
        <v>0</v>
      </c>
      <c r="AC86" s="34"/>
      <c r="AD86" s="36" t="s">
        <v>38</v>
      </c>
      <c r="AE86" s="29">
        <v>1</v>
      </c>
      <c r="AF86" s="29">
        <v>2</v>
      </c>
      <c r="AG86" s="28">
        <v>150000</v>
      </c>
      <c r="AH86" s="30">
        <f t="shared" si="54"/>
        <v>300000</v>
      </c>
    </row>
    <row r="87" spans="2:34" x14ac:dyDescent="0.25">
      <c r="G87" s="1">
        <v>5000000</v>
      </c>
      <c r="I87" s="6"/>
      <c r="J87" s="6"/>
      <c r="K87" s="6"/>
      <c r="L87" s="6">
        <f>SUM(L65:L86)</f>
        <v>521021454.54545456</v>
      </c>
      <c r="M87" s="6"/>
      <c r="O87" s="34"/>
      <c r="P87" s="36" t="s">
        <v>39</v>
      </c>
      <c r="Q87" s="29">
        <v>0</v>
      </c>
      <c r="R87" s="29">
        <v>3</v>
      </c>
      <c r="S87" s="28">
        <v>100000</v>
      </c>
      <c r="T87" s="30">
        <f t="shared" si="52"/>
        <v>0</v>
      </c>
      <c r="V87" s="34"/>
      <c r="W87" s="36" t="s">
        <v>39</v>
      </c>
      <c r="X87" s="29">
        <v>0</v>
      </c>
      <c r="Y87" s="29">
        <v>3</v>
      </c>
      <c r="Z87" s="28">
        <v>100000</v>
      </c>
      <c r="AA87" s="30">
        <f t="shared" si="53"/>
        <v>0</v>
      </c>
      <c r="AC87" s="34"/>
      <c r="AD87" s="36" t="s">
        <v>39</v>
      </c>
      <c r="AE87" s="29">
        <v>0</v>
      </c>
      <c r="AF87" s="29">
        <v>3</v>
      </c>
      <c r="AG87" s="28">
        <v>100000</v>
      </c>
      <c r="AH87" s="30">
        <f t="shared" si="54"/>
        <v>0</v>
      </c>
    </row>
    <row r="88" spans="2:34" x14ac:dyDescent="0.25">
      <c r="G88" s="1">
        <v>5000000</v>
      </c>
      <c r="L88" s="6">
        <v>75000000</v>
      </c>
      <c r="M88" s="6"/>
      <c r="O88" s="41">
        <f>O84+1</f>
        <v>2</v>
      </c>
      <c r="P88" s="37" t="s">
        <v>40</v>
      </c>
      <c r="Q88" s="29"/>
      <c r="R88" s="29"/>
      <c r="S88" s="28"/>
      <c r="T88" s="30"/>
      <c r="V88" s="41">
        <f>V84+1</f>
        <v>2</v>
      </c>
      <c r="W88" s="37" t="s">
        <v>40</v>
      </c>
      <c r="X88" s="29"/>
      <c r="Y88" s="29"/>
      <c r="Z88" s="28"/>
      <c r="AA88" s="30"/>
      <c r="AC88" s="41">
        <f>AC84+1</f>
        <v>2</v>
      </c>
      <c r="AD88" s="37" t="s">
        <v>40</v>
      </c>
      <c r="AE88" s="29"/>
      <c r="AF88" s="29"/>
      <c r="AG88" s="28"/>
      <c r="AH88" s="30"/>
    </row>
    <row r="89" spans="2:34" x14ac:dyDescent="0.25">
      <c r="G89" s="1">
        <f>SUM(G86:G88)</f>
        <v>17000000</v>
      </c>
      <c r="I89" s="6"/>
      <c r="J89" s="6"/>
      <c r="K89" s="6"/>
      <c r="L89" s="6">
        <f>L88/1.1</f>
        <v>68181818.181818172</v>
      </c>
      <c r="M89" s="6"/>
      <c r="O89" s="41"/>
      <c r="P89" s="36" t="s">
        <v>54</v>
      </c>
      <c r="Q89" s="29">
        <v>1</v>
      </c>
      <c r="R89" s="29">
        <v>1</v>
      </c>
      <c r="S89" s="28">
        <v>400000</v>
      </c>
      <c r="T89" s="30">
        <f t="shared" ref="T89:T95" si="55">Q89*R89*S89</f>
        <v>400000</v>
      </c>
      <c r="V89" s="41"/>
      <c r="W89" s="36" t="s">
        <v>54</v>
      </c>
      <c r="X89" s="29">
        <v>0</v>
      </c>
      <c r="Y89" s="29">
        <v>1</v>
      </c>
      <c r="Z89" s="28">
        <v>400000</v>
      </c>
      <c r="AA89" s="30">
        <f t="shared" ref="AA89:AA95" si="56">X89*Y89*Z89</f>
        <v>0</v>
      </c>
      <c r="AC89" s="41"/>
      <c r="AD89" s="36" t="s">
        <v>54</v>
      </c>
      <c r="AE89" s="29">
        <v>0</v>
      </c>
      <c r="AF89" s="29">
        <v>1</v>
      </c>
      <c r="AG89" s="28">
        <v>400000</v>
      </c>
      <c r="AH89" s="30">
        <f t="shared" ref="AH89:AH95" si="57">AE89*AF89*AG89</f>
        <v>0</v>
      </c>
    </row>
    <row r="90" spans="2:34" x14ac:dyDescent="0.25">
      <c r="G90" s="1">
        <f>G89*1.1</f>
        <v>18700000</v>
      </c>
      <c r="O90" s="41"/>
      <c r="P90" s="36" t="s">
        <v>58</v>
      </c>
      <c r="Q90" s="29">
        <v>1</v>
      </c>
      <c r="R90" s="29">
        <v>2</v>
      </c>
      <c r="S90" s="66">
        <v>711500</v>
      </c>
      <c r="T90" s="30">
        <f t="shared" si="55"/>
        <v>1423000</v>
      </c>
      <c r="V90" s="41"/>
      <c r="W90" s="36" t="s">
        <v>58</v>
      </c>
      <c r="X90" s="29">
        <v>0</v>
      </c>
      <c r="Y90" s="29">
        <v>2</v>
      </c>
      <c r="Z90" s="66">
        <v>641100</v>
      </c>
      <c r="AA90" s="30">
        <f t="shared" si="56"/>
        <v>0</v>
      </c>
      <c r="AC90" s="41"/>
      <c r="AD90" s="36" t="s">
        <v>58</v>
      </c>
      <c r="AE90" s="29">
        <v>0</v>
      </c>
      <c r="AF90" s="29">
        <v>2</v>
      </c>
      <c r="AG90" s="66">
        <v>704900</v>
      </c>
      <c r="AH90" s="30">
        <f t="shared" si="57"/>
        <v>0</v>
      </c>
    </row>
    <row r="91" spans="2:34" x14ac:dyDescent="0.25">
      <c r="O91" s="41"/>
      <c r="P91" s="36" t="s">
        <v>59</v>
      </c>
      <c r="Q91" s="29">
        <v>1</v>
      </c>
      <c r="R91" s="29">
        <v>2</v>
      </c>
      <c r="S91" s="28">
        <v>500000</v>
      </c>
      <c r="T91" s="30">
        <f t="shared" si="55"/>
        <v>1000000</v>
      </c>
      <c r="V91" s="41"/>
      <c r="W91" s="36" t="s">
        <v>59</v>
      </c>
      <c r="X91" s="29">
        <v>0</v>
      </c>
      <c r="Y91" s="29">
        <v>2</v>
      </c>
      <c r="Z91" s="28">
        <v>500000</v>
      </c>
      <c r="AA91" s="30">
        <f t="shared" si="56"/>
        <v>0</v>
      </c>
      <c r="AC91" s="41"/>
      <c r="AD91" s="36" t="s">
        <v>59</v>
      </c>
      <c r="AE91" s="29">
        <v>0</v>
      </c>
      <c r="AF91" s="29">
        <v>2</v>
      </c>
      <c r="AG91" s="28">
        <v>500000</v>
      </c>
      <c r="AH91" s="30">
        <f t="shared" si="57"/>
        <v>0</v>
      </c>
    </row>
    <row r="92" spans="2:34" x14ac:dyDescent="0.25">
      <c r="O92" s="41"/>
      <c r="P92" s="36" t="s">
        <v>55</v>
      </c>
      <c r="Q92" s="29">
        <v>1</v>
      </c>
      <c r="R92" s="29">
        <v>1</v>
      </c>
      <c r="S92" s="28">
        <v>500000</v>
      </c>
      <c r="T92" s="30">
        <f t="shared" si="55"/>
        <v>500000</v>
      </c>
      <c r="V92" s="41"/>
      <c r="W92" s="36" t="s">
        <v>55</v>
      </c>
      <c r="X92" s="29">
        <v>0</v>
      </c>
      <c r="Y92" s="29">
        <v>1</v>
      </c>
      <c r="Z92" s="28">
        <v>500000</v>
      </c>
      <c r="AA92" s="30">
        <f t="shared" si="56"/>
        <v>0</v>
      </c>
      <c r="AC92" s="41"/>
      <c r="AD92" s="36" t="s">
        <v>55</v>
      </c>
      <c r="AE92" s="29">
        <v>0</v>
      </c>
      <c r="AF92" s="29">
        <v>1</v>
      </c>
      <c r="AG92" s="28">
        <v>500000</v>
      </c>
      <c r="AH92" s="30">
        <f t="shared" si="57"/>
        <v>0</v>
      </c>
    </row>
    <row r="93" spans="2:34" x14ac:dyDescent="0.25">
      <c r="O93" s="34"/>
      <c r="P93" s="36" t="s">
        <v>41</v>
      </c>
      <c r="Q93" s="29">
        <v>1</v>
      </c>
      <c r="R93" s="29">
        <v>1</v>
      </c>
      <c r="S93" s="28">
        <f>200000</f>
        <v>200000</v>
      </c>
      <c r="T93" s="30">
        <f t="shared" si="55"/>
        <v>200000</v>
      </c>
      <c r="V93" s="34"/>
      <c r="W93" s="36" t="s">
        <v>41</v>
      </c>
      <c r="X93" s="29">
        <v>1</v>
      </c>
      <c r="Y93" s="29">
        <v>2</v>
      </c>
      <c r="Z93" s="28">
        <v>100000</v>
      </c>
      <c r="AA93" s="30">
        <f t="shared" si="56"/>
        <v>200000</v>
      </c>
      <c r="AC93" s="34"/>
      <c r="AD93" s="36" t="s">
        <v>41</v>
      </c>
      <c r="AE93" s="29">
        <v>1</v>
      </c>
      <c r="AF93" s="29">
        <v>2</v>
      </c>
      <c r="AG93" s="28">
        <f>200000</f>
        <v>200000</v>
      </c>
      <c r="AH93" s="30">
        <f t="shared" si="57"/>
        <v>400000</v>
      </c>
    </row>
    <row r="94" spans="2:34" x14ac:dyDescent="0.25">
      <c r="O94" s="34"/>
      <c r="P94" s="36" t="s">
        <v>43</v>
      </c>
      <c r="Q94" s="29">
        <v>1</v>
      </c>
      <c r="R94" s="29">
        <v>1</v>
      </c>
      <c r="S94" s="28">
        <v>50000</v>
      </c>
      <c r="T94" s="30">
        <f t="shared" si="55"/>
        <v>50000</v>
      </c>
      <c r="V94" s="34"/>
      <c r="W94" s="36" t="s">
        <v>43</v>
      </c>
      <c r="X94" s="29">
        <v>1</v>
      </c>
      <c r="Y94" s="29">
        <v>2</v>
      </c>
      <c r="Z94" s="28">
        <v>50000</v>
      </c>
      <c r="AA94" s="30">
        <f t="shared" si="56"/>
        <v>100000</v>
      </c>
      <c r="AC94" s="34"/>
      <c r="AD94" s="36" t="s">
        <v>43</v>
      </c>
      <c r="AE94" s="29">
        <v>1</v>
      </c>
      <c r="AF94" s="29">
        <v>2</v>
      </c>
      <c r="AG94" s="28">
        <v>50000</v>
      </c>
      <c r="AH94" s="30">
        <f t="shared" si="57"/>
        <v>100000</v>
      </c>
    </row>
    <row r="95" spans="2:34" x14ac:dyDescent="0.25">
      <c r="O95" s="58"/>
      <c r="P95" s="36" t="s">
        <v>56</v>
      </c>
      <c r="Q95" s="29">
        <v>1</v>
      </c>
      <c r="R95" s="29">
        <v>1</v>
      </c>
      <c r="S95" s="28">
        <v>75000</v>
      </c>
      <c r="T95" s="30">
        <f t="shared" si="55"/>
        <v>75000</v>
      </c>
      <c r="V95" s="58"/>
      <c r="W95" s="36" t="s">
        <v>56</v>
      </c>
      <c r="X95" s="29">
        <v>0</v>
      </c>
      <c r="Y95" s="29">
        <v>1</v>
      </c>
      <c r="Z95" s="28">
        <v>75000</v>
      </c>
      <c r="AA95" s="30">
        <f t="shared" si="56"/>
        <v>0</v>
      </c>
      <c r="AC95" s="58"/>
      <c r="AD95" s="36" t="s">
        <v>56</v>
      </c>
      <c r="AE95" s="29">
        <v>0</v>
      </c>
      <c r="AF95" s="29">
        <v>1</v>
      </c>
      <c r="AG95" s="28">
        <v>75000</v>
      </c>
      <c r="AH95" s="30">
        <f t="shared" si="57"/>
        <v>0</v>
      </c>
    </row>
    <row r="96" spans="2:34" x14ac:dyDescent="0.25">
      <c r="O96" s="41">
        <v>3</v>
      </c>
      <c r="P96" s="37" t="s">
        <v>47</v>
      </c>
      <c r="Q96" s="51"/>
      <c r="R96" s="51"/>
      <c r="S96" s="52"/>
      <c r="T96" s="53"/>
      <c r="V96" s="41">
        <v>3</v>
      </c>
      <c r="W96" s="37" t="s">
        <v>47</v>
      </c>
      <c r="X96" s="51"/>
      <c r="Y96" s="51"/>
      <c r="Z96" s="52"/>
      <c r="AA96" s="53"/>
      <c r="AC96" s="41">
        <v>3</v>
      </c>
      <c r="AD96" s="37" t="s">
        <v>47</v>
      </c>
      <c r="AE96" s="51"/>
      <c r="AF96" s="51"/>
      <c r="AG96" s="52"/>
      <c r="AH96" s="53"/>
    </row>
    <row r="97" spans="2:34" x14ac:dyDescent="0.25">
      <c r="O97" s="50"/>
      <c r="P97" s="36" t="s">
        <v>48</v>
      </c>
      <c r="Q97" s="29">
        <v>1</v>
      </c>
      <c r="R97" s="29">
        <v>1</v>
      </c>
      <c r="S97" s="28">
        <v>50000</v>
      </c>
      <c r="T97" s="30">
        <f t="shared" ref="T97:T98" si="58">Q97*R97*S97</f>
        <v>50000</v>
      </c>
      <c r="V97" s="50"/>
      <c r="W97" s="36" t="s">
        <v>48</v>
      </c>
      <c r="X97" s="29">
        <v>1</v>
      </c>
      <c r="Y97" s="29">
        <v>1</v>
      </c>
      <c r="Z97" s="28">
        <v>50000</v>
      </c>
      <c r="AA97" s="30">
        <f t="shared" ref="AA97:AA98" si="59">X97*Y97*Z97</f>
        <v>50000</v>
      </c>
      <c r="AC97" s="50"/>
      <c r="AD97" s="36" t="s">
        <v>48</v>
      </c>
      <c r="AE97" s="29">
        <v>1</v>
      </c>
      <c r="AF97" s="29">
        <v>1</v>
      </c>
      <c r="AG97" s="28">
        <v>50000</v>
      </c>
      <c r="AH97" s="30">
        <f t="shared" ref="AH97:AH98" si="60">AE97*AF97*AG97</f>
        <v>50000</v>
      </c>
    </row>
    <row r="98" spans="2:34" x14ac:dyDescent="0.25">
      <c r="O98" s="50"/>
      <c r="P98" s="36" t="s">
        <v>57</v>
      </c>
      <c r="Q98" s="29">
        <v>1</v>
      </c>
      <c r="R98" s="29">
        <v>1</v>
      </c>
      <c r="S98" s="28">
        <v>250000</v>
      </c>
      <c r="T98" s="30">
        <f t="shared" si="58"/>
        <v>250000</v>
      </c>
      <c r="V98" s="50"/>
      <c r="W98" s="36" t="s">
        <v>57</v>
      </c>
      <c r="X98" s="29">
        <v>1</v>
      </c>
      <c r="Y98" s="29">
        <v>1</v>
      </c>
      <c r="Z98" s="28">
        <v>250000</v>
      </c>
      <c r="AA98" s="30">
        <f t="shared" si="59"/>
        <v>250000</v>
      </c>
      <c r="AC98" s="50"/>
      <c r="AD98" s="36" t="s">
        <v>57</v>
      </c>
      <c r="AE98" s="29">
        <v>2</v>
      </c>
      <c r="AF98" s="29">
        <v>1</v>
      </c>
      <c r="AG98" s="28">
        <v>250000</v>
      </c>
      <c r="AH98" s="30">
        <f t="shared" si="60"/>
        <v>500000</v>
      </c>
    </row>
    <row r="99" spans="2:34" x14ac:dyDescent="0.25">
      <c r="O99" s="35"/>
      <c r="P99" s="45"/>
      <c r="Q99" s="32"/>
      <c r="R99" s="32"/>
      <c r="S99" s="31"/>
      <c r="T99" s="33"/>
      <c r="V99" s="35"/>
      <c r="W99" s="45"/>
      <c r="X99" s="32"/>
      <c r="Y99" s="32"/>
      <c r="Z99" s="31"/>
      <c r="AA99" s="33"/>
      <c r="AC99" s="35"/>
      <c r="AD99" s="45"/>
      <c r="AE99" s="32"/>
      <c r="AF99" s="32"/>
      <c r="AG99" s="31"/>
      <c r="AH99" s="33"/>
    </row>
    <row r="100" spans="2:34" x14ac:dyDescent="0.25">
      <c r="O100" s="46"/>
      <c r="P100" s="49" t="s">
        <v>45</v>
      </c>
      <c r="Q100" s="48"/>
      <c r="R100" s="48"/>
      <c r="S100" s="47"/>
      <c r="T100" s="24">
        <f>SUM(T85:T98)</f>
        <v>4348000</v>
      </c>
      <c r="V100" s="46"/>
      <c r="W100" s="49" t="s">
        <v>45</v>
      </c>
      <c r="X100" s="48"/>
      <c r="Y100" s="48"/>
      <c r="Z100" s="47"/>
      <c r="AA100" s="24">
        <f>SUM(AA85:AA98)</f>
        <v>1000000</v>
      </c>
      <c r="AC100" s="46"/>
      <c r="AD100" s="49" t="s">
        <v>45</v>
      </c>
      <c r="AE100" s="48"/>
      <c r="AF100" s="48"/>
      <c r="AG100" s="47"/>
      <c r="AH100" s="24">
        <f>SUM(AH85:AH98)</f>
        <v>1750000</v>
      </c>
    </row>
    <row r="101" spans="2:34" x14ac:dyDescent="0.25">
      <c r="B101" s="4" t="e">
        <f>#REF!+1</f>
        <v>#REF!</v>
      </c>
      <c r="C101" s="1" t="s">
        <v>17</v>
      </c>
      <c r="G101" s="1" t="s">
        <v>15</v>
      </c>
      <c r="H101" s="1" t="s">
        <v>24</v>
      </c>
      <c r="I101" s="1">
        <v>4950000</v>
      </c>
      <c r="J101" s="1">
        <f t="shared" ref="J101" si="61">I101*(1-$J$2)</f>
        <v>3960000</v>
      </c>
      <c r="K101" s="1">
        <f t="shared" ref="K101" si="62">J101*K$2</f>
        <v>396000</v>
      </c>
      <c r="L101" s="1">
        <f t="shared" ref="L101" si="63">J101+K101</f>
        <v>4356000</v>
      </c>
    </row>
    <row r="102" spans="2:34" x14ac:dyDescent="0.25">
      <c r="B102" s="4" t="e">
        <f t="shared" ref="B102:B106" si="64">B101+1</f>
        <v>#REF!</v>
      </c>
      <c r="O102" s="120" t="s">
        <v>119</v>
      </c>
      <c r="P102" s="121"/>
      <c r="Q102" s="121"/>
      <c r="R102" s="121"/>
      <c r="S102" s="121"/>
      <c r="T102" s="122"/>
      <c r="V102" s="120" t="s">
        <v>120</v>
      </c>
      <c r="W102" s="121"/>
      <c r="X102" s="121"/>
      <c r="Y102" s="121"/>
      <c r="Z102" s="121"/>
      <c r="AA102" s="122"/>
      <c r="AC102" s="120" t="s">
        <v>121</v>
      </c>
      <c r="AD102" s="121"/>
      <c r="AE102" s="121"/>
      <c r="AF102" s="121"/>
      <c r="AG102" s="121"/>
      <c r="AH102" s="122"/>
    </row>
    <row r="103" spans="2:34" x14ac:dyDescent="0.25">
      <c r="B103" s="4" t="e">
        <f t="shared" si="64"/>
        <v>#REF!</v>
      </c>
      <c r="O103" s="17" t="s">
        <v>35</v>
      </c>
      <c r="P103" s="16" t="s">
        <v>36</v>
      </c>
      <c r="Q103" s="15" t="s">
        <v>44</v>
      </c>
      <c r="R103" s="15" t="s">
        <v>7</v>
      </c>
      <c r="S103" s="17" t="s">
        <v>8</v>
      </c>
      <c r="T103" s="17" t="s">
        <v>9</v>
      </c>
      <c r="V103" s="17" t="s">
        <v>35</v>
      </c>
      <c r="W103" s="16" t="s">
        <v>36</v>
      </c>
      <c r="X103" s="15" t="s">
        <v>44</v>
      </c>
      <c r="Y103" s="15" t="s">
        <v>7</v>
      </c>
      <c r="Z103" s="17" t="s">
        <v>8</v>
      </c>
      <c r="AA103" s="17" t="s">
        <v>9</v>
      </c>
      <c r="AC103" s="17" t="s">
        <v>35</v>
      </c>
      <c r="AD103" s="16" t="s">
        <v>36</v>
      </c>
      <c r="AE103" s="15" t="s">
        <v>44</v>
      </c>
      <c r="AF103" s="15" t="s">
        <v>7</v>
      </c>
      <c r="AG103" s="17" t="s">
        <v>8</v>
      </c>
      <c r="AH103" s="17" t="s">
        <v>9</v>
      </c>
    </row>
    <row r="104" spans="2:34" x14ac:dyDescent="0.25">
      <c r="B104" s="4" t="e">
        <f t="shared" si="64"/>
        <v>#REF!</v>
      </c>
      <c r="O104" s="41">
        <v>1</v>
      </c>
      <c r="P104" s="37" t="s">
        <v>6</v>
      </c>
      <c r="Q104" s="38"/>
      <c r="R104" s="38"/>
      <c r="S104" s="39"/>
      <c r="T104" s="40"/>
      <c r="V104" s="41">
        <v>1</v>
      </c>
      <c r="W104" s="37" t="s">
        <v>6</v>
      </c>
      <c r="X104" s="38"/>
      <c r="Y104" s="38"/>
      <c r="Z104" s="39"/>
      <c r="AA104" s="40"/>
      <c r="AC104" s="41">
        <v>1</v>
      </c>
      <c r="AD104" s="37" t="s">
        <v>6</v>
      </c>
      <c r="AE104" s="38"/>
      <c r="AF104" s="38"/>
      <c r="AG104" s="39"/>
      <c r="AH104" s="40"/>
    </row>
    <row r="105" spans="2:34" x14ac:dyDescent="0.25">
      <c r="B105" s="4" t="e">
        <f t="shared" si="64"/>
        <v>#REF!</v>
      </c>
      <c r="O105" s="34"/>
      <c r="P105" s="36" t="s">
        <v>37</v>
      </c>
      <c r="Q105" s="29">
        <v>1</v>
      </c>
      <c r="R105" s="29">
        <v>2</v>
      </c>
      <c r="S105" s="28">
        <v>200000</v>
      </c>
      <c r="T105" s="30">
        <f t="shared" ref="T105:T107" si="65">Q105*R105*S105</f>
        <v>400000</v>
      </c>
      <c r="V105" s="34"/>
      <c r="W105" s="36" t="s">
        <v>37</v>
      </c>
      <c r="X105" s="29">
        <v>1</v>
      </c>
      <c r="Y105" s="29">
        <v>3</v>
      </c>
      <c r="Z105" s="28">
        <v>200000</v>
      </c>
      <c r="AA105" s="30">
        <f t="shared" ref="AA105:AA107" si="66">X105*Y105*Z105</f>
        <v>600000</v>
      </c>
      <c r="AC105" s="34"/>
      <c r="AD105" s="36" t="s">
        <v>37</v>
      </c>
      <c r="AE105" s="29">
        <v>1</v>
      </c>
      <c r="AF105" s="29">
        <v>2</v>
      </c>
      <c r="AG105" s="28">
        <v>200000</v>
      </c>
      <c r="AH105" s="30">
        <f t="shared" ref="AH105:AH107" si="67">AE105*AF105*AG105</f>
        <v>400000</v>
      </c>
    </row>
    <row r="106" spans="2:34" x14ac:dyDescent="0.25">
      <c r="B106" s="4" t="e">
        <f t="shared" si="64"/>
        <v>#REF!</v>
      </c>
      <c r="G106" s="1">
        <v>7000000</v>
      </c>
      <c r="O106" s="34"/>
      <c r="P106" s="36" t="s">
        <v>38</v>
      </c>
      <c r="Q106" s="29">
        <v>0</v>
      </c>
      <c r="R106" s="29">
        <v>2</v>
      </c>
      <c r="S106" s="28">
        <v>150000</v>
      </c>
      <c r="T106" s="30">
        <f t="shared" si="65"/>
        <v>0</v>
      </c>
      <c r="V106" s="34"/>
      <c r="W106" s="36" t="s">
        <v>38</v>
      </c>
      <c r="X106" s="29">
        <v>0</v>
      </c>
      <c r="Y106" s="29">
        <v>4</v>
      </c>
      <c r="Z106" s="28">
        <v>150000</v>
      </c>
      <c r="AA106" s="30">
        <f t="shared" si="66"/>
        <v>0</v>
      </c>
      <c r="AC106" s="34"/>
      <c r="AD106" s="36" t="s">
        <v>38</v>
      </c>
      <c r="AE106" s="29">
        <v>1</v>
      </c>
      <c r="AF106" s="29">
        <v>2</v>
      </c>
      <c r="AG106" s="28">
        <v>150000</v>
      </c>
      <c r="AH106" s="30">
        <f t="shared" si="67"/>
        <v>300000</v>
      </c>
    </row>
    <row r="107" spans="2:34" x14ac:dyDescent="0.25">
      <c r="G107" s="1">
        <v>5000000</v>
      </c>
      <c r="I107" s="6"/>
      <c r="J107" s="6"/>
      <c r="K107" s="6"/>
      <c r="L107" s="6">
        <f>SUM(L85:L106)</f>
        <v>668559272.72727263</v>
      </c>
      <c r="M107" s="6"/>
      <c r="O107" s="34"/>
      <c r="P107" s="36" t="s">
        <v>39</v>
      </c>
      <c r="Q107" s="29">
        <v>0</v>
      </c>
      <c r="R107" s="29">
        <v>3</v>
      </c>
      <c r="S107" s="28">
        <v>100000</v>
      </c>
      <c r="T107" s="30">
        <f t="shared" si="65"/>
        <v>0</v>
      </c>
      <c r="V107" s="34"/>
      <c r="W107" s="36" t="s">
        <v>39</v>
      </c>
      <c r="X107" s="29">
        <v>0</v>
      </c>
      <c r="Y107" s="29">
        <v>3</v>
      </c>
      <c r="Z107" s="28">
        <v>100000</v>
      </c>
      <c r="AA107" s="30">
        <f t="shared" si="66"/>
        <v>0</v>
      </c>
      <c r="AC107" s="34"/>
      <c r="AD107" s="36" t="s">
        <v>39</v>
      </c>
      <c r="AE107" s="29">
        <v>0</v>
      </c>
      <c r="AF107" s="29">
        <v>3</v>
      </c>
      <c r="AG107" s="28">
        <v>100000</v>
      </c>
      <c r="AH107" s="30">
        <f t="shared" si="67"/>
        <v>0</v>
      </c>
    </row>
    <row r="108" spans="2:34" x14ac:dyDescent="0.25">
      <c r="G108" s="1">
        <v>5000000</v>
      </c>
      <c r="L108" s="6">
        <v>75000000</v>
      </c>
      <c r="M108" s="6"/>
      <c r="O108" s="41">
        <f>O104+1</f>
        <v>2</v>
      </c>
      <c r="P108" s="37" t="s">
        <v>40</v>
      </c>
      <c r="Q108" s="29"/>
      <c r="R108" s="29"/>
      <c r="S108" s="28"/>
      <c r="T108" s="30"/>
      <c r="V108" s="41">
        <f>V104+1</f>
        <v>2</v>
      </c>
      <c r="W108" s="37" t="s">
        <v>40</v>
      </c>
      <c r="X108" s="29"/>
      <c r="Y108" s="29"/>
      <c r="Z108" s="28"/>
      <c r="AA108" s="30"/>
      <c r="AC108" s="41">
        <f>AC104+1</f>
        <v>2</v>
      </c>
      <c r="AD108" s="37" t="s">
        <v>40</v>
      </c>
      <c r="AE108" s="29"/>
      <c r="AF108" s="29"/>
      <c r="AG108" s="28"/>
      <c r="AH108" s="30"/>
    </row>
    <row r="109" spans="2:34" x14ac:dyDescent="0.25">
      <c r="G109" s="1">
        <f>SUM(G106:G108)</f>
        <v>17000000</v>
      </c>
      <c r="I109" s="6"/>
      <c r="J109" s="6"/>
      <c r="K109" s="6"/>
      <c r="L109" s="6">
        <f>L108/1.1</f>
        <v>68181818.181818172</v>
      </c>
      <c r="M109" s="6"/>
      <c r="O109" s="41"/>
      <c r="P109" s="36" t="s">
        <v>54</v>
      </c>
      <c r="Q109" s="29">
        <v>1</v>
      </c>
      <c r="R109" s="29">
        <v>1</v>
      </c>
      <c r="S109" s="28">
        <v>400000</v>
      </c>
      <c r="T109" s="30">
        <f t="shared" ref="T109:T115" si="68">Q109*R109*S109</f>
        <v>400000</v>
      </c>
      <c r="V109" s="41"/>
      <c r="W109" s="36" t="s">
        <v>54</v>
      </c>
      <c r="X109" s="29">
        <v>0</v>
      </c>
      <c r="Y109" s="29">
        <v>1</v>
      </c>
      <c r="Z109" s="28">
        <v>400000</v>
      </c>
      <c r="AA109" s="30">
        <f t="shared" ref="AA109:AA115" si="69">X109*Y109*Z109</f>
        <v>0</v>
      </c>
      <c r="AC109" s="41"/>
      <c r="AD109" s="36" t="s">
        <v>54</v>
      </c>
      <c r="AE109" s="29">
        <v>1</v>
      </c>
      <c r="AF109" s="29">
        <v>1</v>
      </c>
      <c r="AG109" s="28">
        <v>400000</v>
      </c>
      <c r="AH109" s="30">
        <f t="shared" ref="AH109:AH115" si="70">AE109*AF109*AG109</f>
        <v>400000</v>
      </c>
    </row>
    <row r="110" spans="2:34" x14ac:dyDescent="0.25">
      <c r="G110" s="1">
        <f>G109*1.1</f>
        <v>18700000</v>
      </c>
      <c r="O110" s="41"/>
      <c r="P110" s="36" t="s">
        <v>58</v>
      </c>
      <c r="Q110" s="29">
        <v>1</v>
      </c>
      <c r="R110" s="29">
        <v>2</v>
      </c>
      <c r="S110" s="66">
        <v>549700</v>
      </c>
      <c r="T110" s="30">
        <f t="shared" si="68"/>
        <v>1099400</v>
      </c>
      <c r="V110" s="41"/>
      <c r="W110" s="36" t="s">
        <v>58</v>
      </c>
      <c r="X110" s="29">
        <v>0</v>
      </c>
      <c r="Y110" s="29">
        <v>2</v>
      </c>
      <c r="Z110" s="66">
        <v>641100</v>
      </c>
      <c r="AA110" s="30">
        <f t="shared" si="69"/>
        <v>0</v>
      </c>
      <c r="AC110" s="41"/>
      <c r="AD110" s="36" t="s">
        <v>58</v>
      </c>
      <c r="AE110" s="29">
        <v>1</v>
      </c>
      <c r="AF110" s="29">
        <v>2</v>
      </c>
      <c r="AG110" s="66">
        <f>640200</f>
        <v>640200</v>
      </c>
      <c r="AH110" s="30">
        <f t="shared" si="70"/>
        <v>1280400</v>
      </c>
    </row>
    <row r="111" spans="2:34" x14ac:dyDescent="0.25">
      <c r="O111" s="41"/>
      <c r="P111" s="36" t="s">
        <v>59</v>
      </c>
      <c r="Q111" s="29">
        <v>1</v>
      </c>
      <c r="R111" s="29">
        <v>2</v>
      </c>
      <c r="S111" s="28">
        <v>500000</v>
      </c>
      <c r="T111" s="30">
        <f t="shared" si="68"/>
        <v>1000000</v>
      </c>
      <c r="V111" s="41"/>
      <c r="W111" s="36" t="s">
        <v>59</v>
      </c>
      <c r="X111" s="29">
        <v>0</v>
      </c>
      <c r="Y111" s="29">
        <v>2</v>
      </c>
      <c r="Z111" s="28">
        <v>500000</v>
      </c>
      <c r="AA111" s="30">
        <f t="shared" si="69"/>
        <v>0</v>
      </c>
      <c r="AC111" s="41"/>
      <c r="AD111" s="36" t="s">
        <v>59</v>
      </c>
      <c r="AE111" s="29">
        <v>1</v>
      </c>
      <c r="AF111" s="29">
        <v>2</v>
      </c>
      <c r="AG111" s="28">
        <v>500000</v>
      </c>
      <c r="AH111" s="30">
        <f t="shared" si="70"/>
        <v>1000000</v>
      </c>
    </row>
    <row r="112" spans="2:34" x14ac:dyDescent="0.25">
      <c r="O112" s="41"/>
      <c r="P112" s="36" t="s">
        <v>55</v>
      </c>
      <c r="Q112" s="29">
        <v>1</v>
      </c>
      <c r="R112" s="29">
        <v>2</v>
      </c>
      <c r="S112" s="28">
        <v>500000</v>
      </c>
      <c r="T112" s="30">
        <f t="shared" si="68"/>
        <v>1000000</v>
      </c>
      <c r="V112" s="41"/>
      <c r="W112" s="36" t="s">
        <v>55</v>
      </c>
      <c r="X112" s="29">
        <v>0</v>
      </c>
      <c r="Y112" s="29">
        <v>1</v>
      </c>
      <c r="Z112" s="28">
        <v>500000</v>
      </c>
      <c r="AA112" s="30">
        <f t="shared" si="69"/>
        <v>0</v>
      </c>
      <c r="AC112" s="41"/>
      <c r="AD112" s="36" t="s">
        <v>55</v>
      </c>
      <c r="AE112" s="29">
        <v>1</v>
      </c>
      <c r="AF112" s="29">
        <v>2</v>
      </c>
      <c r="AG112" s="28">
        <v>500000</v>
      </c>
      <c r="AH112" s="30">
        <f t="shared" si="70"/>
        <v>1000000</v>
      </c>
    </row>
    <row r="113" spans="15:34" x14ac:dyDescent="0.25">
      <c r="O113" s="34"/>
      <c r="P113" s="36" t="s">
        <v>41</v>
      </c>
      <c r="Q113" s="29">
        <v>1</v>
      </c>
      <c r="R113" s="29">
        <v>2</v>
      </c>
      <c r="S113" s="28">
        <f>200000</f>
        <v>200000</v>
      </c>
      <c r="T113" s="30">
        <f t="shared" si="68"/>
        <v>400000</v>
      </c>
      <c r="V113" s="34"/>
      <c r="W113" s="36" t="s">
        <v>41</v>
      </c>
      <c r="X113" s="29">
        <v>1</v>
      </c>
      <c r="Y113" s="29">
        <v>3</v>
      </c>
      <c r="Z113" s="28">
        <v>50000</v>
      </c>
      <c r="AA113" s="30">
        <f t="shared" si="69"/>
        <v>150000</v>
      </c>
      <c r="AC113" s="34"/>
      <c r="AD113" s="36" t="s">
        <v>41</v>
      </c>
      <c r="AE113" s="29">
        <v>1</v>
      </c>
      <c r="AF113" s="29">
        <v>2</v>
      </c>
      <c r="AG113" s="28">
        <f>200000</f>
        <v>200000</v>
      </c>
      <c r="AH113" s="30">
        <f t="shared" si="70"/>
        <v>400000</v>
      </c>
    </row>
    <row r="114" spans="15:34" x14ac:dyDescent="0.25">
      <c r="O114" s="34"/>
      <c r="P114" s="36" t="s">
        <v>43</v>
      </c>
      <c r="Q114" s="29">
        <v>1</v>
      </c>
      <c r="R114" s="29">
        <v>2</v>
      </c>
      <c r="S114" s="28">
        <v>50000</v>
      </c>
      <c r="T114" s="30">
        <f t="shared" si="68"/>
        <v>100000</v>
      </c>
      <c r="V114" s="34"/>
      <c r="W114" s="36" t="s">
        <v>43</v>
      </c>
      <c r="X114" s="29">
        <v>1</v>
      </c>
      <c r="Y114" s="29">
        <v>3</v>
      </c>
      <c r="Z114" s="28">
        <v>20000</v>
      </c>
      <c r="AA114" s="30">
        <f t="shared" si="69"/>
        <v>60000</v>
      </c>
      <c r="AC114" s="34"/>
      <c r="AD114" s="36" t="s">
        <v>43</v>
      </c>
      <c r="AE114" s="29">
        <v>1</v>
      </c>
      <c r="AF114" s="29">
        <v>2</v>
      </c>
      <c r="AG114" s="28">
        <v>50000</v>
      </c>
      <c r="AH114" s="30">
        <f t="shared" si="70"/>
        <v>100000</v>
      </c>
    </row>
    <row r="115" spans="15:34" x14ac:dyDescent="0.25">
      <c r="O115" s="58"/>
      <c r="P115" s="36" t="s">
        <v>56</v>
      </c>
      <c r="Q115" s="29">
        <v>1</v>
      </c>
      <c r="R115" s="29">
        <v>1</v>
      </c>
      <c r="S115" s="28">
        <v>75000</v>
      </c>
      <c r="T115" s="30">
        <f t="shared" si="68"/>
        <v>75000</v>
      </c>
      <c r="V115" s="58"/>
      <c r="W115" s="36" t="s">
        <v>56</v>
      </c>
      <c r="X115" s="29">
        <v>0</v>
      </c>
      <c r="Y115" s="29">
        <v>1</v>
      </c>
      <c r="Z115" s="28">
        <v>75000</v>
      </c>
      <c r="AA115" s="30">
        <f t="shared" si="69"/>
        <v>0</v>
      </c>
      <c r="AC115" s="58"/>
      <c r="AD115" s="36" t="s">
        <v>56</v>
      </c>
      <c r="AE115" s="29">
        <v>0</v>
      </c>
      <c r="AF115" s="29">
        <v>1</v>
      </c>
      <c r="AG115" s="28">
        <v>75000</v>
      </c>
      <c r="AH115" s="30">
        <f t="shared" si="70"/>
        <v>0</v>
      </c>
    </row>
    <row r="116" spans="15:34" x14ac:dyDescent="0.25">
      <c r="O116" s="41">
        <v>3</v>
      </c>
      <c r="P116" s="37" t="s">
        <v>47</v>
      </c>
      <c r="Q116" s="51"/>
      <c r="R116" s="51"/>
      <c r="S116" s="52"/>
      <c r="T116" s="53"/>
      <c r="V116" s="41">
        <v>3</v>
      </c>
      <c r="W116" s="37" t="s">
        <v>47</v>
      </c>
      <c r="X116" s="51"/>
      <c r="Y116" s="51"/>
      <c r="Z116" s="52"/>
      <c r="AA116" s="53"/>
      <c r="AC116" s="41">
        <v>3</v>
      </c>
      <c r="AD116" s="37" t="s">
        <v>47</v>
      </c>
      <c r="AE116" s="51"/>
      <c r="AF116" s="51"/>
      <c r="AG116" s="52"/>
      <c r="AH116" s="53"/>
    </row>
    <row r="117" spans="15:34" x14ac:dyDescent="0.25">
      <c r="O117" s="50"/>
      <c r="P117" s="36" t="s">
        <v>48</v>
      </c>
      <c r="Q117" s="29">
        <v>1</v>
      </c>
      <c r="R117" s="29">
        <v>1</v>
      </c>
      <c r="S117" s="28">
        <v>50000</v>
      </c>
      <c r="T117" s="30">
        <f t="shared" ref="T117:T118" si="71">Q117*R117*S117</f>
        <v>50000</v>
      </c>
      <c r="V117" s="50"/>
      <c r="W117" s="36" t="s">
        <v>48</v>
      </c>
      <c r="X117" s="29">
        <v>1</v>
      </c>
      <c r="Y117" s="29">
        <v>1</v>
      </c>
      <c r="Z117" s="28">
        <v>50000</v>
      </c>
      <c r="AA117" s="30">
        <f t="shared" ref="AA117:AA118" si="72">X117*Y117*Z117</f>
        <v>50000</v>
      </c>
      <c r="AC117" s="50"/>
      <c r="AD117" s="36" t="s">
        <v>48</v>
      </c>
      <c r="AE117" s="29">
        <v>1</v>
      </c>
      <c r="AF117" s="29">
        <v>1</v>
      </c>
      <c r="AG117" s="28">
        <v>50000</v>
      </c>
      <c r="AH117" s="30">
        <f t="shared" ref="AH117:AH118" si="73">AE117*AF117*AG117</f>
        <v>50000</v>
      </c>
    </row>
    <row r="118" spans="15:34" x14ac:dyDescent="0.25">
      <c r="O118" s="50"/>
      <c r="P118" s="36" t="s">
        <v>57</v>
      </c>
      <c r="Q118" s="29">
        <v>1</v>
      </c>
      <c r="R118" s="29">
        <v>1</v>
      </c>
      <c r="S118" s="28">
        <v>250000</v>
      </c>
      <c r="T118" s="30">
        <f t="shared" si="71"/>
        <v>250000</v>
      </c>
      <c r="V118" s="50"/>
      <c r="W118" s="36" t="s">
        <v>57</v>
      </c>
      <c r="X118" s="29">
        <v>1</v>
      </c>
      <c r="Y118" s="29">
        <v>1</v>
      </c>
      <c r="Z118" s="28">
        <v>250000</v>
      </c>
      <c r="AA118" s="30">
        <f t="shared" si="72"/>
        <v>250000</v>
      </c>
      <c r="AC118" s="50"/>
      <c r="AD118" s="36" t="s">
        <v>57</v>
      </c>
      <c r="AE118" s="29">
        <v>2</v>
      </c>
      <c r="AF118" s="29">
        <v>1</v>
      </c>
      <c r="AG118" s="28">
        <v>250000</v>
      </c>
      <c r="AH118" s="30">
        <f t="shared" si="73"/>
        <v>500000</v>
      </c>
    </row>
    <row r="119" spans="15:34" x14ac:dyDescent="0.25">
      <c r="O119" s="35"/>
      <c r="P119" s="45"/>
      <c r="Q119" s="32"/>
      <c r="R119" s="32"/>
      <c r="S119" s="31"/>
      <c r="T119" s="33"/>
      <c r="V119" s="35"/>
      <c r="W119" s="45"/>
      <c r="X119" s="32"/>
      <c r="Y119" s="32"/>
      <c r="Z119" s="31"/>
      <c r="AA119" s="33"/>
      <c r="AC119" s="35"/>
      <c r="AD119" s="45"/>
      <c r="AE119" s="32"/>
      <c r="AF119" s="32"/>
      <c r="AG119" s="31"/>
      <c r="AH119" s="33"/>
    </row>
    <row r="120" spans="15:34" x14ac:dyDescent="0.25">
      <c r="O120" s="46"/>
      <c r="P120" s="49" t="s">
        <v>45</v>
      </c>
      <c r="Q120" s="48"/>
      <c r="R120" s="48"/>
      <c r="S120" s="47"/>
      <c r="T120" s="24">
        <f>SUM(T105:T118)</f>
        <v>4774400</v>
      </c>
      <c r="V120" s="46"/>
      <c r="W120" s="49" t="s">
        <v>45</v>
      </c>
      <c r="X120" s="48"/>
      <c r="Y120" s="48"/>
      <c r="Z120" s="47"/>
      <c r="AA120" s="24">
        <f>SUM(AA105:AA118)</f>
        <v>1110000</v>
      </c>
      <c r="AC120" s="46"/>
      <c r="AD120" s="49" t="s">
        <v>45</v>
      </c>
      <c r="AE120" s="48"/>
      <c r="AF120" s="48"/>
      <c r="AG120" s="47"/>
      <c r="AH120" s="24">
        <f>SUM(AH105:AH118)</f>
        <v>5430400</v>
      </c>
    </row>
    <row r="122" spans="15:34" x14ac:dyDescent="0.25">
      <c r="T122" s="1">
        <f>T20+T40+T60+T80+T100+T120</f>
        <v>22814400</v>
      </c>
      <c r="AA122" s="1">
        <f>AA20+AA40+AA60+AA80+AA100+AA120</f>
        <v>22967200</v>
      </c>
      <c r="AH122" s="1">
        <f>AH20+AH40+AH60+AH80+AH100+AH120</f>
        <v>38634400</v>
      </c>
    </row>
    <row r="124" spans="15:34" x14ac:dyDescent="0.25">
      <c r="T124" s="1">
        <f>T122+AA122+AH122</f>
        <v>84416000</v>
      </c>
    </row>
    <row r="125" spans="15:34" x14ac:dyDescent="0.25">
      <c r="U125" s="13">
        <v>0.1</v>
      </c>
      <c r="X125" s="71">
        <v>0.625</v>
      </c>
    </row>
    <row r="126" spans="15:34" x14ac:dyDescent="0.25">
      <c r="Q126" s="4" t="s">
        <v>122</v>
      </c>
      <c r="S126" s="1">
        <f>SUM('PP Properti'!K23:K43)</f>
        <v>258750000</v>
      </c>
      <c r="T126" s="1">
        <f>T60+AA60+AH60</f>
        <v>36169200</v>
      </c>
      <c r="U126" s="1">
        <f>$U$125*S126</f>
        <v>25875000</v>
      </c>
      <c r="W126" s="1">
        <f>S126-U126-T126</f>
        <v>196705800</v>
      </c>
      <c r="X126" s="72">
        <f>$X$125*W126</f>
        <v>122941125</v>
      </c>
      <c r="AA126" s="1">
        <f>AA31+AH31+AA50+AA51+AA52+AA53+AH50+AH51+AH52+AH53+T70+T71+T72+T73+AA70+AA71+AA72+AA73+AH70+AH71+AH72+AH73+T90+T91+T92+T93+T110+T111+T112+T113+AH110+AH111+AH112+AH113</f>
        <v>41631000</v>
      </c>
    </row>
    <row r="127" spans="15:34" x14ac:dyDescent="0.25">
      <c r="Q127" s="4" t="s">
        <v>123</v>
      </c>
      <c r="S127" s="1">
        <f>'PP Properti'!K51</f>
        <v>3000000</v>
      </c>
      <c r="T127" s="1">
        <f>AA100</f>
        <v>1000000</v>
      </c>
      <c r="U127" s="1">
        <f>$U$125*S127</f>
        <v>300000</v>
      </c>
      <c r="W127" s="1">
        <f>S127-U127-T127</f>
        <v>1700000</v>
      </c>
      <c r="X127" s="72">
        <f>$X$125*W127*0+1000000</f>
        <v>1000000</v>
      </c>
    </row>
    <row r="128" spans="15:34" x14ac:dyDescent="0.25">
      <c r="Q128" s="4" t="s">
        <v>124</v>
      </c>
      <c r="S128" s="1">
        <f>SUM('PP Properti'!K52:K55)</f>
        <v>36000000</v>
      </c>
      <c r="T128" s="1">
        <f>AH100+T120</f>
        <v>6524400</v>
      </c>
      <c r="U128" s="1">
        <f t="shared" ref="U128:U129" si="74">$U$125*S128</f>
        <v>3600000</v>
      </c>
      <c r="W128" s="1">
        <f>S128-U128-T128</f>
        <v>25875600</v>
      </c>
      <c r="X128" s="72">
        <f>$X$125*W128*0+12000000</f>
        <v>12000000</v>
      </c>
    </row>
    <row r="129" spans="17:24" x14ac:dyDescent="0.25">
      <c r="Q129" s="4" t="s">
        <v>125</v>
      </c>
      <c r="S129" s="1">
        <f>SUM('PP Properti'!K56:K58)</f>
        <v>9000000</v>
      </c>
      <c r="T129" s="1">
        <f>AA120+AH120</f>
        <v>6540400</v>
      </c>
      <c r="U129" s="1">
        <f t="shared" si="74"/>
        <v>900000</v>
      </c>
      <c r="W129" s="1">
        <f t="shared" ref="W129" si="75">S129-U129-T129</f>
        <v>1559600</v>
      </c>
      <c r="X129" s="72">
        <f>$X$125*W129*0+7500000</f>
        <v>7500000</v>
      </c>
    </row>
    <row r="130" spans="17:24" x14ac:dyDescent="0.25">
      <c r="X130" s="72">
        <f>SUM(X126:X129)</f>
        <v>143441125</v>
      </c>
    </row>
  </sheetData>
  <mergeCells count="18">
    <mergeCell ref="O102:T102"/>
    <mergeCell ref="V102:AA102"/>
    <mergeCell ref="AC102:AH102"/>
    <mergeCell ref="O62:T62"/>
    <mergeCell ref="V62:AA62"/>
    <mergeCell ref="AC62:AH62"/>
    <mergeCell ref="O82:T82"/>
    <mergeCell ref="V82:AA82"/>
    <mergeCell ref="AC82:AH82"/>
    <mergeCell ref="AC2:AH2"/>
    <mergeCell ref="AC22:AH22"/>
    <mergeCell ref="O42:T42"/>
    <mergeCell ref="V42:AA42"/>
    <mergeCell ref="AC42:AH42"/>
    <mergeCell ref="O2:T2"/>
    <mergeCell ref="O22:T22"/>
    <mergeCell ref="V2:AA2"/>
    <mergeCell ref="V22:AA22"/>
  </mergeCells>
  <dataValidations count="1">
    <dataValidation type="list" allowBlank="1" showInputMessage="1" showErrorMessage="1" sqref="C6:C26 C41:C46 C61:C66 C81:C86 C101:C106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4"/>
  <sheetViews>
    <sheetView zoomScale="180" zoomScaleNormal="180" workbookViewId="0">
      <selection activeCell="B14" sqref="B14"/>
    </sheetView>
  </sheetViews>
  <sheetFormatPr defaultRowHeight="15" outlineLevelCol="1" x14ac:dyDescent="0.25"/>
  <cols>
    <col min="1" max="1" width="12.42578125" style="9" customWidth="1"/>
    <col min="2" max="2" width="14.28515625" style="2" bestFit="1" customWidth="1"/>
    <col min="3" max="3" width="37.140625" style="1" bestFit="1" customWidth="1"/>
    <col min="4" max="4" width="12.5703125" style="1" bestFit="1" customWidth="1"/>
    <col min="5" max="5" width="0" style="1" hidden="1" customWidth="1"/>
    <col min="6" max="6" width="3.5703125" style="4" hidden="1" customWidth="1" outlineLevel="1"/>
    <col min="7" max="7" width="19.42578125" style="1" hidden="1" customWidth="1" outlineLevel="1"/>
    <col min="8" max="10" width="16.28515625" style="1" hidden="1" customWidth="1" outlineLevel="1"/>
    <col min="11" max="11" width="12.85546875" style="1" hidden="1" customWidth="1" outlineLevel="1"/>
    <col min="12" max="12" width="13.140625" style="1" hidden="1" customWidth="1" outlineLevel="1"/>
    <col min="13" max="14" width="11.28515625" style="1" hidden="1" customWidth="1" outlineLevel="1"/>
    <col min="15" max="15" width="9.5703125" style="1" hidden="1" customWidth="1" outlineLevel="1"/>
    <col min="16" max="16" width="12.28515625" style="1" hidden="1" customWidth="1" outlineLevel="1"/>
    <col min="17" max="17" width="12.28515625" style="1" hidden="1" customWidth="1"/>
    <col min="18" max="18" width="8.140625" style="1" customWidth="1"/>
    <col min="19" max="19" width="4.42578125" style="1" customWidth="1"/>
    <col min="20" max="20" width="31.85546875" style="1" bestFit="1" customWidth="1"/>
    <col min="21" max="22" width="14.42578125" style="4" customWidth="1"/>
    <col min="23" max="24" width="14.42578125" style="1" customWidth="1"/>
    <col min="25" max="25" width="9.140625" style="1"/>
    <col min="26" max="26" width="5.140625" style="2" customWidth="1"/>
    <col min="27" max="27" width="19" style="2" customWidth="1"/>
    <col min="28" max="16384" width="9.140625" style="1"/>
  </cols>
  <sheetData>
    <row r="2" spans="1:34" x14ac:dyDescent="0.25">
      <c r="N2" s="14">
        <v>0.2</v>
      </c>
      <c r="O2" s="14">
        <v>0.1</v>
      </c>
      <c r="P2" s="13"/>
      <c r="Q2" s="13"/>
      <c r="S2" s="120" t="s">
        <v>83</v>
      </c>
      <c r="T2" s="121"/>
      <c r="U2" s="121"/>
      <c r="V2" s="121"/>
      <c r="W2" s="121"/>
      <c r="X2" s="122"/>
    </row>
    <row r="3" spans="1:34" s="6" customFormat="1" x14ac:dyDescent="0.25">
      <c r="A3" s="10"/>
      <c r="B3" s="12">
        <f>800000000</f>
        <v>800000000</v>
      </c>
      <c r="F3" s="7"/>
      <c r="G3" s="6" t="s">
        <v>2</v>
      </c>
      <c r="H3" s="6" t="s">
        <v>3</v>
      </c>
      <c r="I3" s="6" t="s">
        <v>4</v>
      </c>
      <c r="J3" s="6" t="s">
        <v>14</v>
      </c>
      <c r="K3" s="6" t="s">
        <v>20</v>
      </c>
      <c r="L3" s="6" t="s">
        <v>21</v>
      </c>
      <c r="M3" s="6" t="s">
        <v>5</v>
      </c>
      <c r="N3" s="6" t="s">
        <v>18</v>
      </c>
      <c r="O3" s="6" t="s">
        <v>29</v>
      </c>
      <c r="P3" s="6" t="s">
        <v>9</v>
      </c>
      <c r="S3" s="17" t="s">
        <v>35</v>
      </c>
      <c r="T3" s="16" t="s">
        <v>36</v>
      </c>
      <c r="U3" s="15" t="s">
        <v>44</v>
      </c>
      <c r="V3" s="15" t="s">
        <v>7</v>
      </c>
      <c r="W3" s="17" t="s">
        <v>8</v>
      </c>
      <c r="X3" s="17" t="s">
        <v>9</v>
      </c>
      <c r="Z3" s="17"/>
      <c r="AA3" s="17"/>
      <c r="AB3" s="17">
        <v>1</v>
      </c>
      <c r="AC3" s="17">
        <v>2</v>
      </c>
      <c r="AD3" s="17">
        <v>3</v>
      </c>
      <c r="AE3" s="17">
        <v>4</v>
      </c>
      <c r="AF3" s="24">
        <v>5</v>
      </c>
      <c r="AG3" s="24">
        <v>6</v>
      </c>
      <c r="AH3" s="24">
        <v>7</v>
      </c>
    </row>
    <row r="4" spans="1:34" x14ac:dyDescent="0.25">
      <c r="A4" s="60">
        <v>1.1000000000000001</v>
      </c>
      <c r="B4" s="5">
        <f>B3*A4</f>
        <v>880000000.00000012</v>
      </c>
      <c r="C4" s="1" t="s">
        <v>0</v>
      </c>
      <c r="F4" s="4">
        <v>1</v>
      </c>
      <c r="G4" s="1" t="s">
        <v>17</v>
      </c>
      <c r="K4" s="1" t="s">
        <v>19</v>
      </c>
      <c r="L4" s="1" t="s">
        <v>22</v>
      </c>
      <c r="M4" s="1">
        <v>4950000</v>
      </c>
      <c r="N4" s="1">
        <f>M4*(1-$N$2)</f>
        <v>3960000</v>
      </c>
      <c r="O4" s="1">
        <f>N4*O$2</f>
        <v>396000</v>
      </c>
      <c r="P4" s="1">
        <f>N4+O4</f>
        <v>4356000</v>
      </c>
      <c r="S4" s="41">
        <v>1</v>
      </c>
      <c r="T4" s="37" t="s">
        <v>6</v>
      </c>
      <c r="U4" s="38"/>
      <c r="V4" s="38"/>
      <c r="W4" s="39"/>
      <c r="X4" s="40"/>
      <c r="Z4" s="42">
        <v>1</v>
      </c>
      <c r="AA4" s="54" t="s">
        <v>34</v>
      </c>
      <c r="AB4" s="55"/>
      <c r="AC4" s="55"/>
      <c r="AD4" s="55"/>
      <c r="AE4" s="55"/>
      <c r="AF4" s="43"/>
      <c r="AG4" s="43"/>
      <c r="AH4" s="43"/>
    </row>
    <row r="5" spans="1:34" x14ac:dyDescent="0.25">
      <c r="B5" s="8">
        <f>B4-(B4/1.1)</f>
        <v>80000000.000000119</v>
      </c>
      <c r="C5" s="1" t="s">
        <v>1</v>
      </c>
      <c r="F5" s="4">
        <f>F4+1</f>
        <v>2</v>
      </c>
      <c r="G5" s="1" t="s">
        <v>23</v>
      </c>
      <c r="K5" s="1" t="s">
        <v>15</v>
      </c>
      <c r="L5" s="1" t="s">
        <v>24</v>
      </c>
      <c r="M5" s="1">
        <v>4950000</v>
      </c>
      <c r="N5" s="1">
        <f t="shared" ref="N5:N21" si="0">M5*(1-$N$2)</f>
        <v>3960000</v>
      </c>
      <c r="O5" s="1">
        <f t="shared" ref="O5:O21" si="1">N5*O$2</f>
        <v>396000</v>
      </c>
      <c r="P5" s="1">
        <f t="shared" ref="P5:P21" si="2">N5+O5</f>
        <v>4356000</v>
      </c>
      <c r="S5" s="34"/>
      <c r="T5" s="36" t="s">
        <v>37</v>
      </c>
      <c r="U5" s="29">
        <v>1</v>
      </c>
      <c r="V5" s="29">
        <v>2</v>
      </c>
      <c r="W5" s="28">
        <v>200000</v>
      </c>
      <c r="X5" s="30">
        <f t="shared" ref="X5:X7" si="3">U5*V5*W5</f>
        <v>400000</v>
      </c>
      <c r="Z5" s="42">
        <v>2</v>
      </c>
      <c r="AA5" s="44" t="s">
        <v>52</v>
      </c>
      <c r="AB5" s="56"/>
      <c r="AC5" s="56"/>
      <c r="AD5" s="56"/>
      <c r="AE5" s="56"/>
      <c r="AF5" s="56"/>
      <c r="AG5" s="56"/>
      <c r="AH5" s="56"/>
    </row>
    <row r="6" spans="1:34" x14ac:dyDescent="0.25">
      <c r="B6" s="12">
        <f>B4-B5</f>
        <v>800000000</v>
      </c>
      <c r="F6" s="4">
        <f t="shared" ref="F6:F26" si="4">F5+1</f>
        <v>3</v>
      </c>
      <c r="G6" s="1" t="s">
        <v>25</v>
      </c>
      <c r="H6" s="1">
        <v>360</v>
      </c>
      <c r="I6" s="1">
        <v>583</v>
      </c>
      <c r="K6" s="1" t="s">
        <v>15</v>
      </c>
      <c r="L6" s="1" t="s">
        <v>24</v>
      </c>
      <c r="M6" s="1">
        <v>4950000</v>
      </c>
      <c r="N6" s="1">
        <f t="shared" si="0"/>
        <v>3960000</v>
      </c>
      <c r="O6" s="1">
        <f t="shared" si="1"/>
        <v>396000</v>
      </c>
      <c r="P6" s="1">
        <f t="shared" si="2"/>
        <v>4356000</v>
      </c>
      <c r="S6" s="34"/>
      <c r="T6" s="36" t="s">
        <v>38</v>
      </c>
      <c r="U6" s="29">
        <v>0</v>
      </c>
      <c r="V6" s="29">
        <v>3</v>
      </c>
      <c r="W6" s="28">
        <v>150000</v>
      </c>
      <c r="X6" s="30">
        <f t="shared" si="3"/>
        <v>0</v>
      </c>
      <c r="Z6" s="42">
        <v>3</v>
      </c>
      <c r="AA6" s="44" t="s">
        <v>50</v>
      </c>
      <c r="AB6" s="57"/>
      <c r="AC6" s="57"/>
      <c r="AD6" s="57"/>
      <c r="AE6" s="43"/>
      <c r="AF6" s="43"/>
      <c r="AG6" s="43"/>
      <c r="AH6" s="43"/>
    </row>
    <row r="7" spans="1:34" x14ac:dyDescent="0.25">
      <c r="B7" s="12">
        <f>Sheet2!AA126</f>
        <v>41631000</v>
      </c>
      <c r="F7" s="4">
        <f t="shared" si="4"/>
        <v>4</v>
      </c>
      <c r="G7" s="1" t="s">
        <v>26</v>
      </c>
      <c r="H7" s="1">
        <v>934</v>
      </c>
      <c r="I7" s="1">
        <v>216</v>
      </c>
      <c r="K7" s="1" t="s">
        <v>15</v>
      </c>
      <c r="L7" s="1" t="s">
        <v>24</v>
      </c>
      <c r="M7" s="1">
        <v>4950000</v>
      </c>
      <c r="N7" s="1">
        <f t="shared" si="0"/>
        <v>3960000</v>
      </c>
      <c r="O7" s="1">
        <f t="shared" si="1"/>
        <v>396000</v>
      </c>
      <c r="P7" s="1">
        <f t="shared" si="2"/>
        <v>4356000</v>
      </c>
      <c r="S7" s="34"/>
      <c r="T7" s="36" t="s">
        <v>39</v>
      </c>
      <c r="U7" s="29">
        <v>0</v>
      </c>
      <c r="V7" s="29">
        <v>2</v>
      </c>
      <c r="W7" s="28">
        <v>50000</v>
      </c>
      <c r="X7" s="30">
        <f t="shared" si="3"/>
        <v>0</v>
      </c>
      <c r="Z7" s="4"/>
    </row>
    <row r="8" spans="1:34" x14ac:dyDescent="0.25">
      <c r="B8" s="12">
        <f>B6-B7</f>
        <v>758369000</v>
      </c>
      <c r="F8" s="4">
        <f t="shared" si="4"/>
        <v>5</v>
      </c>
      <c r="G8" s="1" t="s">
        <v>27</v>
      </c>
      <c r="H8" s="1">
        <v>198</v>
      </c>
      <c r="K8" s="1" t="s">
        <v>15</v>
      </c>
      <c r="L8" s="1" t="s">
        <v>24</v>
      </c>
      <c r="M8" s="1">
        <v>4950000</v>
      </c>
      <c r="N8" s="1">
        <f t="shared" si="0"/>
        <v>3960000</v>
      </c>
      <c r="O8" s="1">
        <f t="shared" si="1"/>
        <v>396000</v>
      </c>
      <c r="P8" s="1">
        <f t="shared" si="2"/>
        <v>4356000</v>
      </c>
      <c r="S8" s="41">
        <f>S4+1</f>
        <v>2</v>
      </c>
      <c r="T8" s="37" t="s">
        <v>40</v>
      </c>
      <c r="U8" s="29"/>
      <c r="V8" s="29"/>
      <c r="W8" s="28"/>
      <c r="X8" s="30"/>
      <c r="Z8" s="4"/>
    </row>
    <row r="9" spans="1:34" x14ac:dyDescent="0.25">
      <c r="A9" s="9">
        <v>0.1</v>
      </c>
      <c r="B9" s="2">
        <f>-A9*B8</f>
        <v>-75836900</v>
      </c>
      <c r="C9" s="3" t="s">
        <v>10</v>
      </c>
      <c r="F9" s="4">
        <f t="shared" si="4"/>
        <v>6</v>
      </c>
      <c r="G9" s="1" t="s">
        <v>17</v>
      </c>
      <c r="K9" s="1" t="s">
        <v>28</v>
      </c>
      <c r="L9" s="1" t="s">
        <v>24</v>
      </c>
      <c r="M9" s="1">
        <v>4950000</v>
      </c>
      <c r="N9" s="1">
        <f t="shared" si="0"/>
        <v>3960000</v>
      </c>
      <c r="O9" s="1">
        <f t="shared" si="1"/>
        <v>396000</v>
      </c>
      <c r="P9" s="1">
        <f t="shared" si="2"/>
        <v>4356000</v>
      </c>
      <c r="S9" s="41"/>
      <c r="T9" s="36" t="s">
        <v>54</v>
      </c>
      <c r="U9" s="29">
        <v>1</v>
      </c>
      <c r="V9" s="29">
        <v>1</v>
      </c>
      <c r="W9" s="28">
        <v>400000</v>
      </c>
      <c r="X9" s="30">
        <f t="shared" ref="X9:X15" si="5">U9*V9*W9</f>
        <v>400000</v>
      </c>
      <c r="Z9" s="4"/>
    </row>
    <row r="10" spans="1:34" x14ac:dyDescent="0.25">
      <c r="A10" s="9">
        <f>(100%-20%)*5%</f>
        <v>4.0000000000000008E-2</v>
      </c>
      <c r="B10" s="2">
        <f>-A10*B8</f>
        <v>-30334760.000000007</v>
      </c>
      <c r="C10" s="3" t="s">
        <v>11</v>
      </c>
      <c r="F10" s="4">
        <f t="shared" si="4"/>
        <v>7</v>
      </c>
      <c r="G10" s="1" t="s">
        <v>17</v>
      </c>
      <c r="K10" s="1" t="s">
        <v>15</v>
      </c>
      <c r="L10" s="1" t="s">
        <v>24</v>
      </c>
      <c r="M10" s="1">
        <v>4950000</v>
      </c>
      <c r="N10" s="1">
        <f t="shared" si="0"/>
        <v>3960000</v>
      </c>
      <c r="O10" s="1">
        <f t="shared" si="1"/>
        <v>396000</v>
      </c>
      <c r="P10" s="1">
        <f t="shared" si="2"/>
        <v>4356000</v>
      </c>
      <c r="S10" s="41"/>
      <c r="T10" s="36" t="s">
        <v>58</v>
      </c>
      <c r="U10" s="29">
        <v>0</v>
      </c>
      <c r="V10" s="29">
        <v>2</v>
      </c>
      <c r="W10" s="66">
        <v>789600</v>
      </c>
      <c r="X10" s="30">
        <f t="shared" si="5"/>
        <v>0</v>
      </c>
      <c r="Z10" s="4"/>
    </row>
    <row r="11" spans="1:34" x14ac:dyDescent="0.25">
      <c r="A11" s="9">
        <f>5%*75%</f>
        <v>3.7500000000000006E-2</v>
      </c>
      <c r="B11" s="2">
        <f>-A11*B8</f>
        <v>-28438837.500000004</v>
      </c>
      <c r="C11" s="1" t="s">
        <v>12</v>
      </c>
      <c r="F11" s="4">
        <f t="shared" si="4"/>
        <v>8</v>
      </c>
      <c r="G11" s="1" t="s">
        <v>17</v>
      </c>
      <c r="K11" s="1" t="s">
        <v>15</v>
      </c>
      <c r="L11" s="1" t="s">
        <v>24</v>
      </c>
      <c r="M11" s="1">
        <v>4950000</v>
      </c>
      <c r="N11" s="1">
        <f t="shared" si="0"/>
        <v>3960000</v>
      </c>
      <c r="O11" s="1">
        <f t="shared" si="1"/>
        <v>396000</v>
      </c>
      <c r="P11" s="1">
        <f t="shared" si="2"/>
        <v>4356000</v>
      </c>
      <c r="S11" s="41"/>
      <c r="T11" s="36" t="s">
        <v>59</v>
      </c>
      <c r="U11" s="29">
        <v>0</v>
      </c>
      <c r="V11" s="29">
        <v>2</v>
      </c>
      <c r="W11" s="28">
        <v>500000</v>
      </c>
      <c r="X11" s="30">
        <f t="shared" si="5"/>
        <v>0</v>
      </c>
      <c r="Z11" s="4"/>
    </row>
    <row r="12" spans="1:34" x14ac:dyDescent="0.25">
      <c r="A12" s="9">
        <v>2.5000000000000001E-2</v>
      </c>
      <c r="B12" s="2">
        <f>-A12*B8</f>
        <v>-18959225</v>
      </c>
      <c r="C12" s="1" t="s">
        <v>13</v>
      </c>
      <c r="D12" s="27"/>
      <c r="F12" s="4">
        <f t="shared" si="4"/>
        <v>9</v>
      </c>
      <c r="G12" s="1" t="s">
        <v>17</v>
      </c>
      <c r="K12" s="1" t="s">
        <v>15</v>
      </c>
      <c r="L12" s="1" t="s">
        <v>24</v>
      </c>
      <c r="M12" s="1">
        <v>4950000</v>
      </c>
      <c r="N12" s="1">
        <f t="shared" si="0"/>
        <v>3960000</v>
      </c>
      <c r="O12" s="1">
        <f t="shared" si="1"/>
        <v>396000</v>
      </c>
      <c r="P12" s="1">
        <f t="shared" si="2"/>
        <v>4356000</v>
      </c>
      <c r="S12" s="41"/>
      <c r="T12" s="36" t="s">
        <v>55</v>
      </c>
      <c r="U12" s="29">
        <v>1</v>
      </c>
      <c r="V12" s="29">
        <v>1</v>
      </c>
      <c r="W12" s="28">
        <v>500000</v>
      </c>
      <c r="X12" s="30">
        <f t="shared" si="5"/>
        <v>500000</v>
      </c>
      <c r="Z12" s="4"/>
    </row>
    <row r="13" spans="1:34" x14ac:dyDescent="0.25">
      <c r="A13" s="9">
        <f>-B13/B6</f>
        <v>5.3481250000000001E-2</v>
      </c>
      <c r="B13" s="2">
        <f>-Sheet2!T124+B7</f>
        <v>-42785000</v>
      </c>
      <c r="C13" s="1" t="s">
        <v>6</v>
      </c>
      <c r="D13" s="27"/>
      <c r="F13" s="4">
        <f t="shared" si="4"/>
        <v>10</v>
      </c>
      <c r="G13" s="1" t="s">
        <v>17</v>
      </c>
      <c r="K13" s="1" t="s">
        <v>15</v>
      </c>
      <c r="L13" s="1" t="s">
        <v>24</v>
      </c>
      <c r="M13" s="1">
        <v>4950000</v>
      </c>
      <c r="N13" s="1">
        <f t="shared" si="0"/>
        <v>3960000</v>
      </c>
      <c r="O13" s="1">
        <f t="shared" si="1"/>
        <v>396000</v>
      </c>
      <c r="P13" s="1">
        <f t="shared" si="2"/>
        <v>4356000</v>
      </c>
      <c r="S13" s="34"/>
      <c r="T13" s="36" t="s">
        <v>41</v>
      </c>
      <c r="U13" s="29">
        <v>1</v>
      </c>
      <c r="V13" s="29">
        <v>1</v>
      </c>
      <c r="W13" s="28">
        <v>150000</v>
      </c>
      <c r="X13" s="30">
        <f t="shared" si="5"/>
        <v>150000</v>
      </c>
      <c r="Z13" s="4"/>
    </row>
    <row r="14" spans="1:34" x14ac:dyDescent="0.25">
      <c r="A14" s="65">
        <f>-B14/B6</f>
        <v>0.17930140624999999</v>
      </c>
      <c r="B14" s="64">
        <f>-Sheet2!X130</f>
        <v>-143441125</v>
      </c>
      <c r="C14" s="1" t="s">
        <v>126</v>
      </c>
      <c r="F14" s="4">
        <f t="shared" si="4"/>
        <v>11</v>
      </c>
      <c r="G14" s="1" t="s">
        <v>17</v>
      </c>
      <c r="K14" s="1" t="s">
        <v>15</v>
      </c>
      <c r="L14" s="1" t="s">
        <v>24</v>
      </c>
      <c r="M14" s="1">
        <v>4950000</v>
      </c>
      <c r="N14" s="1">
        <f t="shared" si="0"/>
        <v>3960000</v>
      </c>
      <c r="O14" s="1">
        <f t="shared" si="1"/>
        <v>396000</v>
      </c>
      <c r="P14" s="1">
        <f t="shared" si="2"/>
        <v>4356000</v>
      </c>
      <c r="S14" s="34"/>
      <c r="T14" s="36" t="s">
        <v>43</v>
      </c>
      <c r="U14" s="29">
        <v>1</v>
      </c>
      <c r="V14" s="29">
        <v>1</v>
      </c>
      <c r="W14" s="28">
        <v>25000</v>
      </c>
      <c r="X14" s="30">
        <f t="shared" si="5"/>
        <v>25000</v>
      </c>
      <c r="Z14" s="4"/>
    </row>
    <row r="15" spans="1:34" x14ac:dyDescent="0.25">
      <c r="A15" s="62">
        <f>SUM(A9:A14)</f>
        <v>0.43528265624999996</v>
      </c>
      <c r="B15" s="63">
        <f>SUM(B9:B14)</f>
        <v>-339795847.5</v>
      </c>
      <c r="C15" s="61"/>
      <c r="F15" s="4">
        <f t="shared" si="4"/>
        <v>12</v>
      </c>
      <c r="G15" s="1" t="s">
        <v>17</v>
      </c>
      <c r="K15" s="1" t="s">
        <v>15</v>
      </c>
      <c r="L15" s="1" t="s">
        <v>24</v>
      </c>
      <c r="M15" s="1">
        <v>4950000</v>
      </c>
      <c r="N15" s="1">
        <f t="shared" si="0"/>
        <v>3960000</v>
      </c>
      <c r="O15" s="1">
        <f t="shared" si="1"/>
        <v>396000</v>
      </c>
      <c r="P15" s="1">
        <f t="shared" si="2"/>
        <v>4356000</v>
      </c>
      <c r="S15" s="58"/>
      <c r="T15" s="36" t="s">
        <v>56</v>
      </c>
      <c r="U15" s="29">
        <v>1</v>
      </c>
      <c r="V15" s="29">
        <v>1</v>
      </c>
      <c r="W15" s="28">
        <v>75000</v>
      </c>
      <c r="X15" s="30">
        <f t="shared" si="5"/>
        <v>75000</v>
      </c>
      <c r="Z15" s="4"/>
    </row>
    <row r="16" spans="1:34" x14ac:dyDescent="0.25">
      <c r="A16" s="10">
        <f>B16/B6</f>
        <v>0.57525519062499997</v>
      </c>
      <c r="B16" s="5">
        <f>B6+B15</f>
        <v>460204152.5</v>
      </c>
      <c r="C16" s="6" t="s">
        <v>16</v>
      </c>
      <c r="F16" s="4">
        <f t="shared" si="4"/>
        <v>13</v>
      </c>
      <c r="G16" s="1" t="s">
        <v>17</v>
      </c>
      <c r="K16" s="1" t="s">
        <v>15</v>
      </c>
      <c r="L16" s="1" t="s">
        <v>24</v>
      </c>
      <c r="M16" s="1">
        <v>4950000</v>
      </c>
      <c r="N16" s="1">
        <f t="shared" si="0"/>
        <v>3960000</v>
      </c>
      <c r="O16" s="1">
        <f t="shared" si="1"/>
        <v>396000</v>
      </c>
      <c r="P16" s="1">
        <f t="shared" si="2"/>
        <v>4356000</v>
      </c>
      <c r="S16" s="41">
        <v>3</v>
      </c>
      <c r="T16" s="37" t="s">
        <v>47</v>
      </c>
      <c r="U16" s="51"/>
      <c r="V16" s="51"/>
      <c r="W16" s="52"/>
      <c r="X16" s="53"/>
      <c r="Z16" s="4"/>
    </row>
    <row r="17" spans="1:26" x14ac:dyDescent="0.25">
      <c r="A17" s="10"/>
      <c r="B17" s="5"/>
      <c r="C17" s="6"/>
      <c r="F17" s="4">
        <f t="shared" si="4"/>
        <v>14</v>
      </c>
      <c r="G17" s="1" t="s">
        <v>17</v>
      </c>
      <c r="K17" s="1" t="s">
        <v>15</v>
      </c>
      <c r="L17" s="1" t="s">
        <v>24</v>
      </c>
      <c r="M17" s="1">
        <v>4950000</v>
      </c>
      <c r="N17" s="1">
        <f t="shared" si="0"/>
        <v>3960000</v>
      </c>
      <c r="O17" s="1">
        <f t="shared" si="1"/>
        <v>396000</v>
      </c>
      <c r="P17" s="1">
        <f t="shared" si="2"/>
        <v>4356000</v>
      </c>
      <c r="S17" s="50"/>
      <c r="T17" s="36" t="s">
        <v>48</v>
      </c>
      <c r="U17" s="29">
        <v>0</v>
      </c>
      <c r="V17" s="29">
        <v>1</v>
      </c>
      <c r="W17" s="28">
        <v>50000</v>
      </c>
      <c r="X17" s="30">
        <f t="shared" ref="X17:X18" si="6">U17*V17*W17</f>
        <v>0</v>
      </c>
      <c r="Z17" s="4"/>
    </row>
    <row r="18" spans="1:26" x14ac:dyDescent="0.25">
      <c r="A18" s="10">
        <f>A15-A9-A10-A11-A12</f>
        <v>0.23278265624999997</v>
      </c>
      <c r="B18" s="5"/>
      <c r="C18" s="6"/>
      <c r="F18" s="4">
        <f t="shared" si="4"/>
        <v>15</v>
      </c>
      <c r="G18" s="1" t="s">
        <v>17</v>
      </c>
      <c r="K18" s="1" t="s">
        <v>15</v>
      </c>
      <c r="L18" s="1" t="s">
        <v>24</v>
      </c>
      <c r="M18" s="1">
        <v>4950000</v>
      </c>
      <c r="N18" s="1">
        <f t="shared" si="0"/>
        <v>3960000</v>
      </c>
      <c r="O18" s="1">
        <f t="shared" si="1"/>
        <v>396000</v>
      </c>
      <c r="P18" s="1">
        <f t="shared" si="2"/>
        <v>4356000</v>
      </c>
      <c r="S18" s="50"/>
      <c r="T18" s="36" t="s">
        <v>57</v>
      </c>
      <c r="U18" s="29">
        <v>1</v>
      </c>
      <c r="V18" s="29">
        <v>1</v>
      </c>
      <c r="W18" s="28">
        <v>250000</v>
      </c>
      <c r="X18" s="30">
        <f t="shared" si="6"/>
        <v>250000</v>
      </c>
      <c r="Z18" s="4"/>
    </row>
    <row r="19" spans="1:26" x14ac:dyDescent="0.25">
      <c r="A19" s="9">
        <f>A15-A18</f>
        <v>0.20249999999999999</v>
      </c>
      <c r="C19" s="6"/>
      <c r="F19" s="4">
        <f t="shared" si="4"/>
        <v>16</v>
      </c>
      <c r="G19" s="1" t="s">
        <v>17</v>
      </c>
      <c r="K19" s="1" t="s">
        <v>28</v>
      </c>
      <c r="L19" s="1" t="s">
        <v>24</v>
      </c>
      <c r="M19" s="1">
        <v>4950000</v>
      </c>
      <c r="N19" s="1">
        <f t="shared" si="0"/>
        <v>3960000</v>
      </c>
      <c r="O19" s="1">
        <f t="shared" si="1"/>
        <v>396000</v>
      </c>
      <c r="P19" s="1">
        <f t="shared" si="2"/>
        <v>4356000</v>
      </c>
      <c r="S19" s="35"/>
      <c r="T19" s="45"/>
      <c r="U19" s="32"/>
      <c r="V19" s="32"/>
      <c r="W19" s="31"/>
      <c r="X19" s="33"/>
      <c r="Z19" s="4"/>
    </row>
    <row r="20" spans="1:26" x14ac:dyDescent="0.25">
      <c r="C20" s="78" t="s">
        <v>127</v>
      </c>
      <c r="F20" s="4">
        <f t="shared" si="4"/>
        <v>17</v>
      </c>
      <c r="G20" s="1" t="s">
        <v>17</v>
      </c>
      <c r="K20" s="1" t="s">
        <v>15</v>
      </c>
      <c r="L20" s="1" t="s">
        <v>24</v>
      </c>
      <c r="M20" s="1">
        <v>4950000</v>
      </c>
      <c r="N20" s="1">
        <f t="shared" si="0"/>
        <v>3960000</v>
      </c>
      <c r="O20" s="1">
        <f t="shared" si="1"/>
        <v>396000</v>
      </c>
      <c r="P20" s="1">
        <f t="shared" si="2"/>
        <v>4356000</v>
      </c>
      <c r="S20" s="46"/>
      <c r="T20" s="49" t="s">
        <v>45</v>
      </c>
      <c r="U20" s="48"/>
      <c r="V20" s="48"/>
      <c r="W20" s="47"/>
      <c r="X20" s="24">
        <f>SUM(X5:X18)</f>
        <v>1800000</v>
      </c>
      <c r="Z20" s="4"/>
    </row>
    <row r="21" spans="1:26" x14ac:dyDescent="0.25">
      <c r="C21" s="78" t="s">
        <v>128</v>
      </c>
      <c r="F21" s="4">
        <f t="shared" si="4"/>
        <v>18</v>
      </c>
      <c r="G21" s="1" t="s">
        <v>17</v>
      </c>
      <c r="K21" s="1" t="s">
        <v>15</v>
      </c>
      <c r="L21" s="1" t="s">
        <v>24</v>
      </c>
      <c r="M21" s="1">
        <v>4950000</v>
      </c>
      <c r="N21" s="1">
        <f t="shared" si="0"/>
        <v>3960000</v>
      </c>
      <c r="O21" s="1">
        <f t="shared" si="1"/>
        <v>396000</v>
      </c>
      <c r="P21" s="1">
        <f t="shared" si="2"/>
        <v>4356000</v>
      </c>
      <c r="Z21" s="4"/>
    </row>
    <row r="22" spans="1:26" x14ac:dyDescent="0.25">
      <c r="C22" s="78" t="s">
        <v>129</v>
      </c>
      <c r="F22" s="4">
        <f t="shared" si="4"/>
        <v>19</v>
      </c>
      <c r="S22" s="120" t="s">
        <v>84</v>
      </c>
      <c r="T22" s="121"/>
      <c r="U22" s="121"/>
      <c r="V22" s="121"/>
      <c r="W22" s="121"/>
      <c r="X22" s="122"/>
      <c r="Z22" s="4"/>
    </row>
    <row r="23" spans="1:26" x14ac:dyDescent="0.25">
      <c r="C23" s="77"/>
      <c r="F23" s="4">
        <f t="shared" si="4"/>
        <v>20</v>
      </c>
      <c r="S23" s="17" t="s">
        <v>35</v>
      </c>
      <c r="T23" s="16" t="s">
        <v>36</v>
      </c>
      <c r="U23" s="15" t="s">
        <v>44</v>
      </c>
      <c r="V23" s="15" t="s">
        <v>7</v>
      </c>
      <c r="W23" s="17" t="s">
        <v>8</v>
      </c>
      <c r="X23" s="17" t="s">
        <v>9</v>
      </c>
      <c r="Z23" s="4"/>
    </row>
    <row r="24" spans="1:26" x14ac:dyDescent="0.25">
      <c r="C24" s="77"/>
      <c r="F24" s="4">
        <f t="shared" si="4"/>
        <v>21</v>
      </c>
      <c r="S24" s="41">
        <v>1</v>
      </c>
      <c r="T24" s="37" t="s">
        <v>6</v>
      </c>
      <c r="U24" s="38"/>
      <c r="V24" s="38"/>
      <c r="W24" s="39"/>
      <c r="X24" s="40"/>
      <c r="Z24" s="4"/>
    </row>
    <row r="25" spans="1:26" x14ac:dyDescent="0.25">
      <c r="F25" s="4">
        <f t="shared" si="4"/>
        <v>22</v>
      </c>
      <c r="S25" s="34"/>
      <c r="T25" s="36" t="s">
        <v>37</v>
      </c>
      <c r="U25" s="29">
        <v>1</v>
      </c>
      <c r="V25" s="29">
        <v>2</v>
      </c>
      <c r="W25" s="28">
        <v>200000</v>
      </c>
      <c r="X25" s="30">
        <f t="shared" ref="X25:X27" si="7">U25*V25*W25</f>
        <v>400000</v>
      </c>
      <c r="Z25" s="4"/>
    </row>
    <row r="26" spans="1:26" x14ac:dyDescent="0.25">
      <c r="F26" s="4">
        <f t="shared" si="4"/>
        <v>23</v>
      </c>
      <c r="K26" s="1">
        <v>7000000</v>
      </c>
      <c r="S26" s="34"/>
      <c r="T26" s="36" t="s">
        <v>38</v>
      </c>
      <c r="U26" s="29">
        <v>0</v>
      </c>
      <c r="V26" s="29">
        <v>3</v>
      </c>
      <c r="W26" s="28">
        <v>150000</v>
      </c>
      <c r="X26" s="30">
        <f t="shared" si="7"/>
        <v>0</v>
      </c>
      <c r="Z26" s="4"/>
    </row>
    <row r="27" spans="1:26" x14ac:dyDescent="0.25">
      <c r="K27" s="1">
        <v>5000000</v>
      </c>
      <c r="M27" s="6"/>
      <c r="N27" s="6"/>
      <c r="O27" s="6"/>
      <c r="P27" s="6">
        <f>SUM(P4:P26)</f>
        <v>78408000</v>
      </c>
      <c r="Q27" s="6"/>
      <c r="S27" s="34"/>
      <c r="T27" s="36" t="s">
        <v>39</v>
      </c>
      <c r="U27" s="29">
        <v>0</v>
      </c>
      <c r="V27" s="29">
        <v>2</v>
      </c>
      <c r="W27" s="28">
        <v>50000</v>
      </c>
      <c r="X27" s="30">
        <f t="shared" si="7"/>
        <v>0</v>
      </c>
      <c r="Z27" s="4"/>
    </row>
    <row r="28" spans="1:26" x14ac:dyDescent="0.25">
      <c r="K28" s="1">
        <v>5000000</v>
      </c>
      <c r="P28" s="6">
        <v>75000000</v>
      </c>
      <c r="Q28" s="6"/>
      <c r="S28" s="41">
        <f>S24+1</f>
        <v>2</v>
      </c>
      <c r="T28" s="37" t="s">
        <v>40</v>
      </c>
      <c r="U28" s="29"/>
      <c r="V28" s="29"/>
      <c r="W28" s="28"/>
      <c r="X28" s="30"/>
      <c r="Z28" s="4"/>
    </row>
    <row r="29" spans="1:26" x14ac:dyDescent="0.25">
      <c r="K29" s="1">
        <f>SUM(K26:K28)</f>
        <v>17000000</v>
      </c>
      <c r="M29" s="6"/>
      <c r="N29" s="6"/>
      <c r="O29" s="6"/>
      <c r="P29" s="6">
        <f>P28/1.1</f>
        <v>68181818.181818172</v>
      </c>
      <c r="Q29" s="6"/>
      <c r="S29" s="41"/>
      <c r="T29" s="36" t="s">
        <v>54</v>
      </c>
      <c r="U29" s="29">
        <v>1</v>
      </c>
      <c r="V29" s="29">
        <v>1</v>
      </c>
      <c r="W29" s="28">
        <v>400000</v>
      </c>
      <c r="X29" s="30">
        <f t="shared" ref="X29:X35" si="8">U29*V29*W29</f>
        <v>400000</v>
      </c>
      <c r="Z29" s="4"/>
    </row>
    <row r="30" spans="1:26" x14ac:dyDescent="0.25">
      <c r="B30" s="5">
        <f>500000000*1.1</f>
        <v>550000000</v>
      </c>
      <c r="C30" s="1" t="s">
        <v>0</v>
      </c>
      <c r="K30" s="1">
        <f>K29*1.1</f>
        <v>18700000</v>
      </c>
      <c r="S30" s="41"/>
      <c r="T30" s="36" t="s">
        <v>58</v>
      </c>
      <c r="U30" s="29">
        <v>0</v>
      </c>
      <c r="V30" s="29">
        <v>2</v>
      </c>
      <c r="W30" s="66">
        <v>581700</v>
      </c>
      <c r="X30" s="30">
        <f t="shared" si="8"/>
        <v>0</v>
      </c>
      <c r="Z30" s="4"/>
    </row>
    <row r="31" spans="1:26" x14ac:dyDescent="0.25">
      <c r="B31" s="8">
        <f>B30-(B30/1.1)</f>
        <v>50000000.00000006</v>
      </c>
      <c r="C31" s="1" t="s">
        <v>1</v>
      </c>
      <c r="S31" s="41"/>
      <c r="T31" s="36" t="s">
        <v>59</v>
      </c>
      <c r="U31" s="29">
        <v>0</v>
      </c>
      <c r="V31" s="29">
        <v>2</v>
      </c>
      <c r="W31" s="28">
        <v>500000</v>
      </c>
      <c r="X31" s="30">
        <f t="shared" si="8"/>
        <v>0</v>
      </c>
      <c r="Z31" s="4"/>
    </row>
    <row r="32" spans="1:26" x14ac:dyDescent="0.25">
      <c r="B32" s="12">
        <f>B30-B31</f>
        <v>499999999.99999994</v>
      </c>
      <c r="S32" s="41"/>
      <c r="T32" s="36" t="s">
        <v>55</v>
      </c>
      <c r="U32" s="29">
        <v>1</v>
      </c>
      <c r="V32" s="29">
        <v>1</v>
      </c>
      <c r="W32" s="28">
        <v>500000</v>
      </c>
      <c r="X32" s="30">
        <f t="shared" si="8"/>
        <v>500000</v>
      </c>
      <c r="Z32" s="4"/>
    </row>
    <row r="33" spans="1:26" x14ac:dyDescent="0.25">
      <c r="A33" s="9">
        <v>0.2</v>
      </c>
      <c r="B33" s="2">
        <f>-B32*A33</f>
        <v>-100000000</v>
      </c>
      <c r="C33" s="3" t="s">
        <v>10</v>
      </c>
      <c r="S33" s="34"/>
      <c r="T33" s="36" t="s">
        <v>41</v>
      </c>
      <c r="U33" s="29">
        <v>1</v>
      </c>
      <c r="V33" s="29">
        <v>1</v>
      </c>
      <c r="W33" s="28">
        <v>150000</v>
      </c>
      <c r="X33" s="30">
        <f t="shared" si="8"/>
        <v>150000</v>
      </c>
      <c r="Z33" s="4"/>
    </row>
    <row r="34" spans="1:26" x14ac:dyDescent="0.25">
      <c r="A34" s="9">
        <f>(100%-20%)*5%</f>
        <v>4.0000000000000008E-2</v>
      </c>
      <c r="B34" s="2">
        <f>-A34*B32</f>
        <v>-20000000</v>
      </c>
      <c r="C34" s="3" t="s">
        <v>11</v>
      </c>
      <c r="S34" s="34"/>
      <c r="T34" s="36" t="s">
        <v>43</v>
      </c>
      <c r="U34" s="29">
        <v>1</v>
      </c>
      <c r="V34" s="29">
        <v>1</v>
      </c>
      <c r="W34" s="28">
        <v>25000</v>
      </c>
      <c r="X34" s="30">
        <f t="shared" si="8"/>
        <v>25000</v>
      </c>
      <c r="Z34" s="4"/>
    </row>
    <row r="35" spans="1:26" x14ac:dyDescent="0.25">
      <c r="A35" s="9">
        <f>5%*75%</f>
        <v>3.7500000000000006E-2</v>
      </c>
      <c r="B35" s="2">
        <f>-A35*B32</f>
        <v>-18750000</v>
      </c>
      <c r="C35" s="1" t="s">
        <v>12</v>
      </c>
      <c r="S35" s="58"/>
      <c r="T35" s="36" t="s">
        <v>56</v>
      </c>
      <c r="U35" s="29">
        <v>1</v>
      </c>
      <c r="V35" s="29">
        <v>1</v>
      </c>
      <c r="W35" s="28">
        <v>75000</v>
      </c>
      <c r="X35" s="30">
        <f t="shared" si="8"/>
        <v>75000</v>
      </c>
      <c r="Z35" s="4"/>
    </row>
    <row r="36" spans="1:26" x14ac:dyDescent="0.25">
      <c r="A36" s="9">
        <v>2.5000000000000001E-2</v>
      </c>
      <c r="B36" s="2">
        <f>-B32*A36</f>
        <v>-12500000</v>
      </c>
      <c r="C36" s="1" t="s">
        <v>13</v>
      </c>
      <c r="S36" s="41">
        <v>3</v>
      </c>
      <c r="T36" s="37" t="s">
        <v>47</v>
      </c>
      <c r="U36" s="51"/>
      <c r="V36" s="51"/>
      <c r="W36" s="52"/>
      <c r="X36" s="53"/>
      <c r="Z36" s="4"/>
    </row>
    <row r="37" spans="1:26" x14ac:dyDescent="0.25">
      <c r="A37" s="9">
        <v>0</v>
      </c>
      <c r="B37" s="2">
        <f>-B32*A37</f>
        <v>0</v>
      </c>
      <c r="C37" s="1" t="s">
        <v>32</v>
      </c>
      <c r="S37" s="50"/>
      <c r="T37" s="36" t="s">
        <v>48</v>
      </c>
      <c r="U37" s="29">
        <v>0</v>
      </c>
      <c r="V37" s="29">
        <v>1</v>
      </c>
      <c r="W37" s="28">
        <v>50000</v>
      </c>
      <c r="X37" s="30">
        <f t="shared" ref="X37:X38" si="9">U37*V37*W37</f>
        <v>0</v>
      </c>
      <c r="Z37" s="4"/>
    </row>
    <row r="38" spans="1:26" x14ac:dyDescent="0.25">
      <c r="A38" s="11"/>
      <c r="B38" s="26"/>
      <c r="C38" s="1" t="s">
        <v>6</v>
      </c>
      <c r="S38" s="50"/>
      <c r="T38" s="36" t="s">
        <v>57</v>
      </c>
      <c r="U38" s="29">
        <v>1</v>
      </c>
      <c r="V38" s="29">
        <v>1</v>
      </c>
      <c r="W38" s="28">
        <v>250000</v>
      </c>
      <c r="X38" s="30">
        <f t="shared" si="9"/>
        <v>250000</v>
      </c>
      <c r="Z38" s="4"/>
    </row>
    <row r="39" spans="1:26" x14ac:dyDescent="0.25">
      <c r="A39" s="11">
        <f>-B39/B32</f>
        <v>0</v>
      </c>
      <c r="B39" s="26">
        <f>-X102</f>
        <v>0</v>
      </c>
      <c r="C39" s="1" t="s">
        <v>33</v>
      </c>
      <c r="S39" s="35"/>
      <c r="T39" s="45"/>
      <c r="U39" s="32"/>
      <c r="V39" s="32"/>
      <c r="W39" s="31"/>
      <c r="X39" s="33"/>
    </row>
    <row r="40" spans="1:26" x14ac:dyDescent="0.25">
      <c r="A40" s="10">
        <f>SUM(A33:A39)</f>
        <v>0.30250000000000005</v>
      </c>
      <c r="B40" s="5">
        <f>SUM(B33:B39)</f>
        <v>-151250000</v>
      </c>
      <c r="S40" s="46"/>
      <c r="T40" s="49" t="s">
        <v>45</v>
      </c>
      <c r="U40" s="48"/>
      <c r="V40" s="48"/>
      <c r="W40" s="47"/>
      <c r="X40" s="24">
        <f>SUM(X25:X38)</f>
        <v>1800000</v>
      </c>
    </row>
    <row r="41" spans="1:26" x14ac:dyDescent="0.25">
      <c r="B41" s="5"/>
      <c r="X41" s="6"/>
    </row>
    <row r="42" spans="1:26" x14ac:dyDescent="0.25">
      <c r="A42" s="10">
        <f>B42/B32</f>
        <v>0.69750000000000001</v>
      </c>
      <c r="B42" s="5">
        <f>B32+B40</f>
        <v>348749999.99999994</v>
      </c>
      <c r="C42" s="6" t="s">
        <v>16</v>
      </c>
      <c r="S42" s="120" t="s">
        <v>60</v>
      </c>
      <c r="T42" s="121"/>
      <c r="U42" s="121"/>
      <c r="V42" s="121"/>
      <c r="W42" s="121"/>
      <c r="X42" s="122"/>
    </row>
    <row r="43" spans="1:26" x14ac:dyDescent="0.25">
      <c r="S43" s="17" t="s">
        <v>35</v>
      </c>
      <c r="T43" s="16" t="s">
        <v>36</v>
      </c>
      <c r="U43" s="15" t="s">
        <v>44</v>
      </c>
      <c r="V43" s="15" t="s">
        <v>7</v>
      </c>
      <c r="W43" s="17" t="s">
        <v>8</v>
      </c>
      <c r="X43" s="17" t="s">
        <v>9</v>
      </c>
    </row>
    <row r="44" spans="1:26" x14ac:dyDescent="0.25">
      <c r="A44" s="9">
        <f>38%-A40</f>
        <v>7.7499999999999958E-2</v>
      </c>
      <c r="B44" s="2">
        <f>A44*B32</f>
        <v>38749999.999999978</v>
      </c>
      <c r="S44" s="41">
        <v>1</v>
      </c>
      <c r="T44" s="37" t="s">
        <v>6</v>
      </c>
      <c r="U44" s="38"/>
      <c r="V44" s="38"/>
      <c r="W44" s="39"/>
      <c r="X44" s="40"/>
    </row>
    <row r="45" spans="1:26" x14ac:dyDescent="0.25">
      <c r="S45" s="34"/>
      <c r="T45" s="36" t="s">
        <v>37</v>
      </c>
      <c r="U45" s="29">
        <v>1</v>
      </c>
      <c r="V45" s="29">
        <v>1</v>
      </c>
      <c r="W45" s="28">
        <v>200000</v>
      </c>
      <c r="X45" s="30">
        <f t="shared" ref="X45:X47" si="10">U45*V45*W45</f>
        <v>200000</v>
      </c>
    </row>
    <row r="46" spans="1:26" x14ac:dyDescent="0.25">
      <c r="S46" s="34"/>
      <c r="T46" s="36" t="s">
        <v>38</v>
      </c>
      <c r="U46" s="29">
        <v>0</v>
      </c>
      <c r="V46" s="29">
        <v>3</v>
      </c>
      <c r="W46" s="28">
        <v>150000</v>
      </c>
      <c r="X46" s="30">
        <f t="shared" si="10"/>
        <v>0</v>
      </c>
    </row>
    <row r="47" spans="1:26" x14ac:dyDescent="0.25">
      <c r="S47" s="34"/>
      <c r="T47" s="36" t="s">
        <v>39</v>
      </c>
      <c r="U47" s="29">
        <v>0</v>
      </c>
      <c r="V47" s="29">
        <v>2</v>
      </c>
      <c r="W47" s="28">
        <v>50000</v>
      </c>
      <c r="X47" s="30">
        <f t="shared" si="10"/>
        <v>0</v>
      </c>
    </row>
    <row r="48" spans="1:26" x14ac:dyDescent="0.25">
      <c r="S48" s="41">
        <f>S44+1</f>
        <v>2</v>
      </c>
      <c r="T48" s="37" t="s">
        <v>40</v>
      </c>
      <c r="U48" s="29"/>
      <c r="V48" s="29"/>
      <c r="W48" s="28"/>
      <c r="X48" s="30"/>
    </row>
    <row r="49" spans="19:24" x14ac:dyDescent="0.25">
      <c r="S49" s="41"/>
      <c r="T49" s="36" t="s">
        <v>54</v>
      </c>
      <c r="U49" s="29">
        <v>0</v>
      </c>
      <c r="V49" s="29">
        <v>1</v>
      </c>
      <c r="W49" s="28">
        <v>400000</v>
      </c>
      <c r="X49" s="30">
        <f t="shared" ref="X49:X55" si="11">U49*V49*W49</f>
        <v>0</v>
      </c>
    </row>
    <row r="50" spans="19:24" x14ac:dyDescent="0.25">
      <c r="S50" s="41"/>
      <c r="T50" s="36" t="s">
        <v>58</v>
      </c>
      <c r="U50" s="29">
        <v>0</v>
      </c>
      <c r="V50" s="29">
        <v>2</v>
      </c>
      <c r="W50" s="28">
        <v>750000</v>
      </c>
      <c r="X50" s="30">
        <f t="shared" si="11"/>
        <v>0</v>
      </c>
    </row>
    <row r="51" spans="19:24" x14ac:dyDescent="0.25">
      <c r="S51" s="41"/>
      <c r="T51" s="36" t="s">
        <v>59</v>
      </c>
      <c r="U51" s="29">
        <v>0</v>
      </c>
      <c r="V51" s="29">
        <v>1</v>
      </c>
      <c r="W51" s="28">
        <v>500000</v>
      </c>
      <c r="X51" s="30">
        <f t="shared" si="11"/>
        <v>0</v>
      </c>
    </row>
    <row r="52" spans="19:24" x14ac:dyDescent="0.25">
      <c r="S52" s="41"/>
      <c r="T52" s="36" t="s">
        <v>55</v>
      </c>
      <c r="U52" s="29">
        <v>0</v>
      </c>
      <c r="V52" s="29">
        <v>1</v>
      </c>
      <c r="W52" s="28">
        <v>500000</v>
      </c>
      <c r="X52" s="30">
        <f t="shared" si="11"/>
        <v>0</v>
      </c>
    </row>
    <row r="53" spans="19:24" x14ac:dyDescent="0.25">
      <c r="S53" s="34"/>
      <c r="T53" s="36" t="s">
        <v>41</v>
      </c>
      <c r="U53" s="29">
        <v>1</v>
      </c>
      <c r="V53" s="29">
        <v>1</v>
      </c>
      <c r="W53" s="28">
        <v>150000</v>
      </c>
      <c r="X53" s="30">
        <f t="shared" si="11"/>
        <v>150000</v>
      </c>
    </row>
    <row r="54" spans="19:24" x14ac:dyDescent="0.25">
      <c r="S54" s="34"/>
      <c r="T54" s="36" t="s">
        <v>43</v>
      </c>
      <c r="U54" s="29">
        <v>1</v>
      </c>
      <c r="V54" s="29">
        <v>1</v>
      </c>
      <c r="W54" s="28">
        <v>150000</v>
      </c>
      <c r="X54" s="30">
        <f t="shared" si="11"/>
        <v>150000</v>
      </c>
    </row>
    <row r="55" spans="19:24" x14ac:dyDescent="0.25">
      <c r="S55" s="58"/>
      <c r="T55" s="36" t="s">
        <v>56</v>
      </c>
      <c r="U55" s="29">
        <v>0</v>
      </c>
      <c r="V55" s="29">
        <v>1</v>
      </c>
      <c r="W55" s="28">
        <v>75000</v>
      </c>
      <c r="X55" s="30">
        <f t="shared" si="11"/>
        <v>0</v>
      </c>
    </row>
    <row r="56" spans="19:24" x14ac:dyDescent="0.25">
      <c r="S56" s="41">
        <v>3</v>
      </c>
      <c r="T56" s="37" t="s">
        <v>47</v>
      </c>
      <c r="U56" s="51"/>
      <c r="V56" s="51"/>
      <c r="W56" s="52"/>
      <c r="X56" s="53"/>
    </row>
    <row r="57" spans="19:24" x14ac:dyDescent="0.25">
      <c r="S57" s="50"/>
      <c r="T57" s="36" t="s">
        <v>48</v>
      </c>
      <c r="U57" s="29">
        <v>0</v>
      </c>
      <c r="V57" s="29">
        <v>1</v>
      </c>
      <c r="W57" s="28">
        <v>50000</v>
      </c>
      <c r="X57" s="30">
        <f t="shared" ref="X57:X58" si="12">U57*V57*W57</f>
        <v>0</v>
      </c>
    </row>
    <row r="58" spans="19:24" x14ac:dyDescent="0.25">
      <c r="S58" s="50"/>
      <c r="T58" s="36" t="s">
        <v>57</v>
      </c>
      <c r="U58" s="29">
        <v>1</v>
      </c>
      <c r="V58" s="29">
        <v>2</v>
      </c>
      <c r="W58" s="28">
        <v>250000</v>
      </c>
      <c r="X58" s="30">
        <f t="shared" si="12"/>
        <v>500000</v>
      </c>
    </row>
    <row r="59" spans="19:24" x14ac:dyDescent="0.25">
      <c r="S59" s="35"/>
      <c r="T59" s="45"/>
      <c r="U59" s="32"/>
      <c r="V59" s="32"/>
      <c r="W59" s="31"/>
      <c r="X59" s="33"/>
    </row>
    <row r="60" spans="19:24" x14ac:dyDescent="0.25">
      <c r="S60" s="46"/>
      <c r="T60" s="49" t="s">
        <v>45</v>
      </c>
      <c r="U60" s="48"/>
      <c r="V60" s="48"/>
      <c r="W60" s="47"/>
      <c r="X60" s="24">
        <f>SUM(X45:X58)</f>
        <v>1000000</v>
      </c>
    </row>
    <row r="62" spans="19:24" x14ac:dyDescent="0.25">
      <c r="S62" s="126" t="s">
        <v>51</v>
      </c>
      <c r="T62" s="127"/>
      <c r="U62" s="127"/>
      <c r="V62" s="127"/>
      <c r="W62" s="127"/>
      <c r="X62" s="128"/>
    </row>
    <row r="63" spans="19:24" x14ac:dyDescent="0.25">
      <c r="S63" s="17" t="s">
        <v>35</v>
      </c>
      <c r="T63" s="16" t="s">
        <v>36</v>
      </c>
      <c r="U63" s="15" t="s">
        <v>44</v>
      </c>
      <c r="V63" s="15" t="s">
        <v>7</v>
      </c>
      <c r="W63" s="17" t="s">
        <v>8</v>
      </c>
      <c r="X63" s="17" t="s">
        <v>9</v>
      </c>
    </row>
    <row r="64" spans="19:24" x14ac:dyDescent="0.25">
      <c r="S64" s="41">
        <v>1</v>
      </c>
      <c r="T64" s="37" t="s">
        <v>6</v>
      </c>
      <c r="U64" s="38"/>
      <c r="V64" s="38"/>
      <c r="W64" s="39"/>
      <c r="X64" s="40"/>
    </row>
    <row r="65" spans="19:24" x14ac:dyDescent="0.25">
      <c r="S65" s="34"/>
      <c r="T65" s="36" t="s">
        <v>37</v>
      </c>
      <c r="U65" s="29">
        <v>1</v>
      </c>
      <c r="V65" s="29">
        <v>3</v>
      </c>
      <c r="W65" s="28">
        <v>150000</v>
      </c>
      <c r="X65" s="30">
        <f t="shared" ref="X65:X67" si="13">U65*V65*W65</f>
        <v>450000</v>
      </c>
    </row>
    <row r="66" spans="19:24" x14ac:dyDescent="0.25">
      <c r="S66" s="34"/>
      <c r="T66" s="36" t="s">
        <v>38</v>
      </c>
      <c r="U66" s="29">
        <v>1</v>
      </c>
      <c r="V66" s="29">
        <v>3</v>
      </c>
      <c r="W66" s="28">
        <v>150000</v>
      </c>
      <c r="X66" s="30">
        <f t="shared" si="13"/>
        <v>450000</v>
      </c>
    </row>
    <row r="67" spans="19:24" x14ac:dyDescent="0.25">
      <c r="S67" s="34"/>
      <c r="T67" s="36" t="s">
        <v>39</v>
      </c>
      <c r="U67" s="29">
        <v>0</v>
      </c>
      <c r="V67" s="29">
        <v>2</v>
      </c>
      <c r="W67" s="28">
        <v>100000</v>
      </c>
      <c r="X67" s="30">
        <f t="shared" si="13"/>
        <v>0</v>
      </c>
    </row>
    <row r="68" spans="19:24" x14ac:dyDescent="0.25">
      <c r="S68" s="41">
        <f>S64+1</f>
        <v>2</v>
      </c>
      <c r="T68" s="37" t="s">
        <v>40</v>
      </c>
      <c r="U68" s="29"/>
      <c r="V68" s="29"/>
      <c r="W68" s="28"/>
      <c r="X68" s="30"/>
    </row>
    <row r="69" spans="19:24" x14ac:dyDescent="0.25">
      <c r="S69" s="34"/>
      <c r="T69" s="36" t="s">
        <v>41</v>
      </c>
      <c r="U69" s="29">
        <v>1</v>
      </c>
      <c r="V69" s="29">
        <v>3</v>
      </c>
      <c r="W69" s="28">
        <v>50000</v>
      </c>
      <c r="X69" s="30">
        <f t="shared" ref="X69:X71" si="14">U69*V69*W69</f>
        <v>150000</v>
      </c>
    </row>
    <row r="70" spans="19:24" x14ac:dyDescent="0.25">
      <c r="S70" s="34"/>
      <c r="T70" s="36" t="s">
        <v>42</v>
      </c>
      <c r="U70" s="29">
        <v>0</v>
      </c>
      <c r="V70" s="29">
        <v>2</v>
      </c>
      <c r="W70" s="28">
        <v>100000</v>
      </c>
      <c r="X70" s="30">
        <f t="shared" si="14"/>
        <v>0</v>
      </c>
    </row>
    <row r="71" spans="19:24" x14ac:dyDescent="0.25">
      <c r="S71" s="34"/>
      <c r="T71" s="36" t="s">
        <v>46</v>
      </c>
      <c r="U71" s="29">
        <v>1</v>
      </c>
      <c r="V71" s="29">
        <v>3</v>
      </c>
      <c r="W71" s="28">
        <v>20000</v>
      </c>
      <c r="X71" s="30">
        <f t="shared" si="14"/>
        <v>60000</v>
      </c>
    </row>
    <row r="72" spans="19:24" x14ac:dyDescent="0.25">
      <c r="S72" s="41">
        <v>3</v>
      </c>
      <c r="T72" s="37" t="s">
        <v>47</v>
      </c>
      <c r="U72" s="29"/>
      <c r="V72" s="29"/>
      <c r="W72" s="28"/>
      <c r="X72" s="30"/>
    </row>
    <row r="73" spans="19:24" x14ac:dyDescent="0.25">
      <c r="S73" s="50"/>
      <c r="T73" s="36" t="s">
        <v>48</v>
      </c>
      <c r="U73" s="29">
        <v>1</v>
      </c>
      <c r="V73" s="29">
        <v>1</v>
      </c>
      <c r="W73" s="28">
        <v>50000</v>
      </c>
      <c r="X73" s="30">
        <f t="shared" ref="X73:X74" si="15">U73*V73*W73</f>
        <v>50000</v>
      </c>
    </row>
    <row r="74" spans="19:24" x14ac:dyDescent="0.25">
      <c r="S74" s="50"/>
      <c r="T74" s="36" t="s">
        <v>49</v>
      </c>
      <c r="U74" s="29">
        <v>0</v>
      </c>
      <c r="V74" s="29">
        <v>1</v>
      </c>
      <c r="W74" s="28">
        <v>150000</v>
      </c>
      <c r="X74" s="30">
        <f t="shared" si="15"/>
        <v>0</v>
      </c>
    </row>
    <row r="75" spans="19:24" x14ac:dyDescent="0.25">
      <c r="S75" s="34"/>
      <c r="T75" s="36"/>
      <c r="U75" s="29"/>
      <c r="V75" s="29"/>
      <c r="W75" s="28"/>
      <c r="X75" s="30"/>
    </row>
    <row r="76" spans="19:24" x14ac:dyDescent="0.25">
      <c r="S76" s="46"/>
      <c r="T76" s="49" t="s">
        <v>45</v>
      </c>
      <c r="U76" s="48"/>
      <c r="V76" s="48"/>
      <c r="W76" s="47"/>
      <c r="X76" s="24">
        <f>SUM(X65:X74)</f>
        <v>1160000</v>
      </c>
    </row>
    <row r="78" spans="19:24" x14ac:dyDescent="0.25">
      <c r="S78" s="46"/>
      <c r="T78" s="49" t="s">
        <v>45</v>
      </c>
      <c r="U78" s="48"/>
      <c r="V78" s="48"/>
      <c r="W78" s="47"/>
      <c r="X78" s="24" t="e">
        <f>X20+#REF!+#REF!+X76</f>
        <v>#REF!</v>
      </c>
    </row>
    <row r="82" spans="24:24" x14ac:dyDescent="0.25">
      <c r="X82" s="6"/>
    </row>
    <row r="84" spans="24:24" x14ac:dyDescent="0.25">
      <c r="X84" s="6"/>
    </row>
  </sheetData>
  <mergeCells count="4">
    <mergeCell ref="S2:X2"/>
    <mergeCell ref="S22:X22"/>
    <mergeCell ref="S42:X42"/>
    <mergeCell ref="S62:X6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G6:G26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PT. Bank DKI</vt:lpstr>
      <vt:lpstr>Perhitungan Fee</vt:lpstr>
      <vt:lpstr>PP Properti</vt:lpstr>
      <vt:lpstr>Sheet2</vt:lpstr>
      <vt:lpstr>Sheet3</vt:lpstr>
      <vt:lpstr>'PT. Bank DKI'!Print_Area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2021-11-08T05:44:27Z</cp:lastPrinted>
  <dcterms:created xsi:type="dcterms:W3CDTF">2021-02-01T08:26:21Z</dcterms:created>
  <dcterms:modified xsi:type="dcterms:W3CDTF">2022-07-22T08:52:18Z</dcterms:modified>
</cp:coreProperties>
</file>